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uKO_INN_CHI\Sonoclub\Hommen\"/>
    </mc:Choice>
  </mc:AlternateContent>
  <bookViews>
    <workbookView xWindow="0" yWindow="0" windowWidth="21570" windowHeight="9405" activeTab="1"/>
  </bookViews>
  <sheets>
    <sheet name="Medikamente" sheetId="1" r:id="rId1"/>
    <sheet name="Laufraten (ITS)" sheetId="3" r:id="rId2"/>
    <sheet name="Medikamente UAWTox" sheetId="4" r:id="rId3"/>
    <sheet name="Pulmo" sheetId="6" r:id="rId4"/>
    <sheet name="Sepsis" sheetId="9" r:id="rId5"/>
    <sheet name="Kardiovaskulär" sheetId="7" r:id="rId6"/>
    <sheet name="Beatmung &amp; SBH" sheetId="8" r:id="rId7"/>
    <sheet name="INTENSIV" sheetId="10" r:id="rId8"/>
    <sheet name="Gastro" sheetId="11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7" l="1"/>
  <c r="E9" i="11" l="1"/>
  <c r="P14" i="6" l="1"/>
  <c r="E7" i="11" l="1"/>
  <c r="E6" i="11"/>
  <c r="E5" i="11"/>
  <c r="E4" i="11"/>
  <c r="E3" i="11"/>
  <c r="E30" i="3" l="1"/>
  <c r="E28" i="3"/>
  <c r="A9" i="11" l="1"/>
  <c r="B9" i="11" s="1"/>
  <c r="E15" i="3"/>
  <c r="A37" i="9" l="1"/>
  <c r="C38" i="8" l="1"/>
  <c r="C36" i="8"/>
  <c r="C34" i="8"/>
  <c r="A42" i="8" l="1"/>
  <c r="A41" i="8"/>
  <c r="F4" i="9"/>
  <c r="F15" i="9"/>
  <c r="F19" i="9"/>
  <c r="F23" i="9"/>
  <c r="F27" i="9"/>
  <c r="E25" i="6" l="1"/>
  <c r="E12" i="9" l="1"/>
  <c r="E13" i="9"/>
  <c r="E11" i="9"/>
  <c r="F9" i="9" l="1"/>
  <c r="C33" i="9"/>
  <c r="I14" i="6"/>
  <c r="G14" i="6" s="1"/>
  <c r="J11" i="6"/>
  <c r="G11" i="6"/>
  <c r="J10" i="6"/>
  <c r="G10" i="6"/>
  <c r="I6" i="6"/>
  <c r="G6" i="6" s="1"/>
  <c r="J6" i="6" l="1"/>
  <c r="I18" i="6"/>
  <c r="H22" i="6" s="1"/>
  <c r="H23" i="6" s="1"/>
  <c r="A23" i="8" l="1"/>
  <c r="E18" i="8"/>
  <c r="E19" i="8"/>
  <c r="E20" i="8"/>
  <c r="E21" i="8"/>
  <c r="E17" i="8"/>
  <c r="D3" i="6"/>
  <c r="E19" i="6" l="1"/>
  <c r="A19" i="6" s="1"/>
  <c r="Q24" i="7" l="1"/>
  <c r="Q19" i="7"/>
  <c r="Q20" i="7"/>
  <c r="Q9" i="7" l="1"/>
  <c r="M9" i="7" s="1"/>
  <c r="K26" i="7" l="1"/>
  <c r="G26" i="7" s="1"/>
  <c r="K12" i="7"/>
  <c r="G12" i="7" s="1"/>
  <c r="E27" i="7"/>
  <c r="A27" i="7" s="1"/>
  <c r="E11" i="7"/>
  <c r="A11" i="7" s="1"/>
  <c r="E9" i="3" l="1"/>
  <c r="E8" i="3"/>
  <c r="E11" i="3"/>
  <c r="E16" i="3"/>
  <c r="E14" i="3"/>
  <c r="E13" i="3"/>
  <c r="E17" i="3"/>
  <c r="D55" i="1"/>
  <c r="F50" i="1"/>
  <c r="E51" i="1"/>
  <c r="D51" i="1"/>
  <c r="D50" i="1"/>
  <c r="F34" i="1"/>
  <c r="D34" i="1"/>
  <c r="D24" i="1"/>
  <c r="F24" i="1"/>
  <c r="D23" i="1"/>
  <c r="F17" i="1"/>
  <c r="F14" i="1"/>
  <c r="F11" i="1"/>
  <c r="F9" i="1"/>
  <c r="D14" i="1"/>
  <c r="D48" i="1" l="1"/>
  <c r="F80" i="1"/>
  <c r="D80" i="1"/>
</calcChain>
</file>

<file path=xl/sharedStrings.xml><?xml version="1.0" encoding="utf-8"?>
<sst xmlns="http://schemas.openxmlformats.org/spreadsheetml/2006/main" count="985" uniqueCount="694">
  <si>
    <t>Wirkstoff</t>
  </si>
  <si>
    <t>Handelsnamen</t>
  </si>
  <si>
    <t>Indikation</t>
  </si>
  <si>
    <t>Dosierung</t>
  </si>
  <si>
    <t>Dolantin</t>
  </si>
  <si>
    <t>Buscopan</t>
  </si>
  <si>
    <t>Morphin</t>
  </si>
  <si>
    <t>Butylscopulamin</t>
  </si>
  <si>
    <t>Amoxicillin</t>
  </si>
  <si>
    <t>Clarhithromycin 500mg 1-0-1 (5-7d)</t>
  </si>
  <si>
    <r>
      <t xml:space="preserve">Pneumonie, ambulant (CAP), </t>
    </r>
    <r>
      <rPr>
        <b/>
        <sz val="10"/>
        <color theme="1"/>
        <rFont val="Calibri"/>
        <family val="2"/>
        <scheme val="minor"/>
      </rPr>
      <t>moderat</t>
    </r>
  </si>
  <si>
    <t>3g i.v. 1-1-1 (5-7 d)</t>
  </si>
  <si>
    <r>
      <t>Pneumonie, ambulant (CAP),</t>
    </r>
    <r>
      <rPr>
        <b/>
        <sz val="10"/>
        <color theme="1"/>
        <rFont val="Calibri"/>
        <family val="2"/>
        <scheme val="minor"/>
      </rPr>
      <t xml:space="preserve"> schwer</t>
    </r>
  </si>
  <si>
    <t>AECOPD</t>
  </si>
  <si>
    <t>Levofloxacin 500mg 1-0-1 (5 d)</t>
  </si>
  <si>
    <t>4,5g i.v. 1-1-1-1 (8 d)</t>
  </si>
  <si>
    <t>Levofloxacin 500mg 1-0-1 (8 d)</t>
  </si>
  <si>
    <r>
      <t>Pneumonie, nosokomial (HAP),</t>
    </r>
    <r>
      <rPr>
        <b/>
        <sz val="10"/>
        <color theme="1"/>
        <rFont val="Calibri"/>
        <family val="2"/>
        <scheme val="minor"/>
      </rPr>
      <t xml:space="preserve"> Risiko I</t>
    </r>
  </si>
  <si>
    <t>3g i.v. 1-1-1 (7-10 d)</t>
  </si>
  <si>
    <t>Levofloxacin 500mg 1-0-1 (7-10d)</t>
  </si>
  <si>
    <r>
      <t>Pneumonie, nosokomial (HAP),</t>
    </r>
    <r>
      <rPr>
        <b/>
        <sz val="10"/>
        <color theme="1"/>
        <rFont val="Calibri"/>
        <family val="2"/>
        <scheme val="minor"/>
      </rPr>
      <t xml:space="preserve"> Risiko II</t>
    </r>
  </si>
  <si>
    <t>4,5g i.v. 1-1-1-1 (10 d)</t>
  </si>
  <si>
    <r>
      <t>Pneumonie, nosokomial (HAP),</t>
    </r>
    <r>
      <rPr>
        <b/>
        <sz val="10"/>
        <color theme="1"/>
        <rFont val="Calibri"/>
        <family val="2"/>
        <scheme val="minor"/>
      </rPr>
      <t xml:space="preserve"> Risiko III</t>
    </r>
  </si>
  <si>
    <t>Levofloxacin</t>
  </si>
  <si>
    <t>Legionellen-Pneumonie</t>
  </si>
  <si>
    <t>0,5g i.v. 1-0-1 (7-10)</t>
  </si>
  <si>
    <t>Peritonitis</t>
  </si>
  <si>
    <t>3g i.v. 1-1-1 (7 d)</t>
  </si>
  <si>
    <t>Ciprofloxacin 400mg i.v. (7 d)</t>
  </si>
  <si>
    <t>4,5g i.v. 1-1-1 (3 d)</t>
  </si>
  <si>
    <t>Divertikulitis</t>
  </si>
  <si>
    <t>3g i.v. 1-1-1</t>
  </si>
  <si>
    <t>4,5g i.v. 1-1-1-1 (7-10) + 5g i.v. 1-1-1 (7-10d)</t>
  </si>
  <si>
    <t>4,5g i.v. 1-1-1-1 (7 d) + 500mg 1-0-1 (3d)</t>
  </si>
  <si>
    <t>Maximaldosis</t>
  </si>
  <si>
    <t>Bemerkung</t>
  </si>
  <si>
    <t>Alternative</t>
  </si>
  <si>
    <t>Ampicillin/Sulbacatam + Clarithromycin</t>
  </si>
  <si>
    <t>Ampicillin/Sulbactam</t>
  </si>
  <si>
    <t>Piperacillin/Tazobactam + Fosfomycin</t>
  </si>
  <si>
    <t>Piperacillin/Tazobactam</t>
  </si>
  <si>
    <t>Piperacillin/Tazobactam + Clarithromycin</t>
  </si>
  <si>
    <t>Cholecystitis</t>
  </si>
  <si>
    <t>kg KG:</t>
  </si>
  <si>
    <t>3g p.o. 1-1-1 (5-7 d)</t>
  </si>
  <si>
    <t>3g i.v. 1-1-1 (5-7 d) + 500mg p.o. 1-0-1 (3 d)</t>
  </si>
  <si>
    <t>4,5g i.v. 1-1-1-1 + 5g i.v. 1-1-1 (8-14 d)</t>
  </si>
  <si>
    <t>Meropenem 2g i.v. 1-0-1 + Fosfomycin 5g i.v. 1-1-1 (8-14 d)</t>
  </si>
  <si>
    <t>Floclonazol</t>
  </si>
  <si>
    <t>Ciprofloxacin 400mg i.v. 1-0-1 +Metronidazol 500mg i.v. 1-1-1 (5d)</t>
  </si>
  <si>
    <t>Ciprofloxacin 400mg i.v. 1-0-1+Metronidazol 500mg i.v. 1-1-1 (3 d)</t>
  </si>
  <si>
    <t>schwerer Verlauf: Meropenem 2g i.v. 1-1-1 (10 d)</t>
  </si>
  <si>
    <t>Pivmecillinam</t>
  </si>
  <si>
    <t>400mg p.o. 1-0-1 (3d)</t>
  </si>
  <si>
    <t>Nitrofurantoin 100mg p.o. 1-0-1 (5 d)</t>
  </si>
  <si>
    <t>4,5g p.o. 1-1-1 (3-5 d)</t>
  </si>
  <si>
    <t>Ciprofloxacin 400mg i.v. 1-1-1 (3-5 d)</t>
  </si>
  <si>
    <t>Erysipel</t>
  </si>
  <si>
    <t>Penicillin G</t>
  </si>
  <si>
    <t>5 Mio. I.E. 1-1-1-1 (7-14 d)</t>
  </si>
  <si>
    <t>Clindamycin 600mg i.v. 1-1-1 (7-10d)</t>
  </si>
  <si>
    <t>Clindamycin</t>
  </si>
  <si>
    <t>600mg p.o. 1-1-1 (5-7d)</t>
  </si>
  <si>
    <t>Cefalexin 1g p.o. 1-1-1 (5-7 d)</t>
  </si>
  <si>
    <t>Flucloxacillin</t>
  </si>
  <si>
    <t>2g i.v. 1-1-1 (7-10 d)</t>
  </si>
  <si>
    <t>Penicillin + Clindamycin</t>
  </si>
  <si>
    <t>(5 Mio. I.E. + 600mg) 1-1-1-1 i.v. (7-14d)</t>
  </si>
  <si>
    <t>Ampicillin/Sulbactam + Fosfomycin + Penicillin G</t>
  </si>
  <si>
    <t>(3g 1-1-1 + 5g 1-1-1 + 5 Mio. I.E. 1-1-1-1) i.v. (7-10 d)</t>
  </si>
  <si>
    <t>Meropenem 1g 1-1-1 + Fosfomycin 5g 1-1-1 (7-10 d)</t>
  </si>
  <si>
    <t>Piperacillin/Tazobactam + Fosfomycin + Penicillin G</t>
  </si>
  <si>
    <t>(4,5g 1-1-1 + 5g 1-1-1 + 5 Mio. I.E. 1-1-1-1) i.v. (7-10 d)</t>
  </si>
  <si>
    <t>Vancomycin + Piperacillin/Tazobactam</t>
  </si>
  <si>
    <t>1g 1-0-1 i.v. + 4,5g 1-1-1 i.v. (7-10 d)</t>
  </si>
  <si>
    <t>Vancomycin 1g 1-0-1 + Meropenem 1g 1-1-1 (7-10 d)</t>
  </si>
  <si>
    <r>
      <t xml:space="preserve">Pneumonie, ambulant (CAP), </t>
    </r>
    <r>
      <rPr>
        <b/>
        <sz val="10"/>
        <color theme="1"/>
        <rFont val="Calibri"/>
        <family val="2"/>
        <scheme val="minor"/>
      </rPr>
      <t>leicht</t>
    </r>
  </si>
  <si>
    <t>Piperacillin/Tazobactam + Clarithromycin + Fosfomycin</t>
  </si>
  <si>
    <t>4,5g i.v. 4x (5-7 d) + 500mg i.v. 2x (3 d) + 5g i.v. 3x (3-5 d)</t>
  </si>
  <si>
    <t>Levofloxacin 500mg i.v. 1-0-1 + Fosfomycin 5g i.v. 1-1-1 (7 d)</t>
  </si>
  <si>
    <t>4,5g i.v. 1-1-1-1 (7-10 d) + 5g i.v. 1-1-1 (7-10 d)</t>
  </si>
  <si>
    <t>Levofloxacin 500mg i.v. 1-0-1 + Fosfomycin 5g i.v. 1-1-1 (7-10 d)</t>
  </si>
  <si>
    <t>Piperazillin/Tazobactam + Fosfomycin</t>
  </si>
  <si>
    <t>4,5g i.v. 1-1-1 + 5g i.v. 1-1-1 (5d)</t>
  </si>
  <si>
    <t>4,5g i.v. 1-1-1-1 + 5g i.v. 1-1-1 (5-7 d)</t>
  </si>
  <si>
    <t>Meropenem 2g 1-1-1 (5 d)</t>
  </si>
  <si>
    <t>Loading 200mg p.o. (1 d), 100mg p.o. 1-0-0 (6d)</t>
  </si>
  <si>
    <t>Ampicillin + Flucloxacillin + Gentamycin</t>
  </si>
  <si>
    <t>Daptomycin + Gentamycin + Rifampicin</t>
  </si>
  <si>
    <t>Meningitis, bakteriell</t>
  </si>
  <si>
    <t>Ceftriaxon + Ampicillin</t>
  </si>
  <si>
    <t>2g i.v. 1-0-1 + 5g i.v. 1-1-1 (*siehe Bemerkung)</t>
  </si>
  <si>
    <t>*N. meningitidis (7-10d) Pneumokokken (10-14d) Gramnegative/Listerien (21d)</t>
  </si>
  <si>
    <t>Meropenem 2g i.v. 1-1-1 (*siehe Bemerkung)</t>
  </si>
  <si>
    <t>Pantoprazol + Clarithromycin + Amoxicillin</t>
  </si>
  <si>
    <t xml:space="preserve">ital. Schema: Metronidazol 400mg 1-0-1 (statt Amoxicillin) </t>
  </si>
  <si>
    <t>40mg p.o. 1-0-1 + 500mg p.o. 1-0-1 + 1g p.o. 1-0-1 (7-14d)</t>
  </si>
  <si>
    <t>Clostridium difficile-Infektion</t>
  </si>
  <si>
    <t xml:space="preserve">Vancomycin  </t>
  </si>
  <si>
    <t>250mg p.o. 1-1-1-1 (10-12 d)</t>
  </si>
  <si>
    <t>HIV, Postexpositionsprophylaxe</t>
  </si>
  <si>
    <t xml:space="preserve">TDF/FTC + Raltegravir </t>
  </si>
  <si>
    <t>Truvada + Isentress</t>
  </si>
  <si>
    <t>4 Wochen</t>
  </si>
  <si>
    <t>Unacid</t>
  </si>
  <si>
    <t>Darmkolik</t>
  </si>
  <si>
    <t>Kammerflimmern</t>
  </si>
  <si>
    <t>Asystolie</t>
  </si>
  <si>
    <t>Pulslose elektrische Aktivität</t>
  </si>
  <si>
    <t>Adrenalin/NaCl + Amiodaron</t>
  </si>
  <si>
    <t>Amiodaron</t>
  </si>
  <si>
    <t>Adrenalin/NaCl</t>
  </si>
  <si>
    <t>nach 3. Schock 1mg als Bolus, dann alle 4 Min 1mg pur</t>
  </si>
  <si>
    <t>nach 3. Schock 300mg als Bolus, dann NaCl-Infusion</t>
  </si>
  <si>
    <t>Amiodaron + NaCl</t>
  </si>
  <si>
    <t>1mg als Bolus, dann alle 4 Min 1mg pur</t>
  </si>
  <si>
    <t>Maligne Hyperthermie</t>
  </si>
  <si>
    <t>Dantrolen</t>
  </si>
  <si>
    <t>Rauchgasvergiftung</t>
  </si>
  <si>
    <t>Sauerstoff (bei Bronchospastik: Salbutamol + Adrenalin)</t>
  </si>
  <si>
    <t>Inhalation: mind 10L/min (ggf. 2,5-5mg + 1mg als Bolus)</t>
  </si>
  <si>
    <t>Herzinfarkt</t>
  </si>
  <si>
    <t xml:space="preserve">ASS + Brilique </t>
  </si>
  <si>
    <t>Heparin (UFH) wenn GFR &lt;30ml/min o. Blutungsrisiko</t>
  </si>
  <si>
    <t>Fondaparinux</t>
  </si>
  <si>
    <t>Arixtra</t>
  </si>
  <si>
    <t>Adenosin</t>
  </si>
  <si>
    <t>6mg (WDH 2x 12mg) als Bolus</t>
  </si>
  <si>
    <t xml:space="preserve">TAA &amp; Vorhofflimmern / -flattern </t>
  </si>
  <si>
    <t>Metoprolol</t>
  </si>
  <si>
    <t>beloc zok</t>
  </si>
  <si>
    <t xml:space="preserve">5mg i.v. &amp; 47,5mg p.o </t>
  </si>
  <si>
    <t>CAVE ! Bronchospastik</t>
  </si>
  <si>
    <t>300mg als KI, dann 900mg über 24h in NaCl</t>
  </si>
  <si>
    <r>
      <t>Magnesium</t>
    </r>
    <r>
      <rPr>
        <vertAlign val="superscript"/>
        <sz val="10"/>
        <color theme="1"/>
        <rFont val="Calibri"/>
        <family val="2"/>
        <scheme val="minor"/>
      </rPr>
      <t>2+</t>
    </r>
    <r>
      <rPr>
        <sz val="10"/>
        <color theme="1"/>
        <rFont val="Calibri"/>
        <family val="2"/>
        <scheme val="minor"/>
      </rPr>
      <t xml:space="preserve"> 2g (Ziel-Kalium &gt;4,5 mmol/L)</t>
    </r>
  </si>
  <si>
    <t>Bradykarde HRST</t>
  </si>
  <si>
    <t>Atropin (*siehe Bemerkung)</t>
  </si>
  <si>
    <t>0,5mg i.v. im Bolus</t>
  </si>
  <si>
    <t>*RR sys &lt;90mmHg, Synkope, AP o. STEMI, Herzinsuffizienz</t>
  </si>
  <si>
    <t>Furosemid + Nitrospray + Morphin</t>
  </si>
  <si>
    <t>40-80mg i.v. + 2 Hub s.l. + 2,5mg i.v.</t>
  </si>
  <si>
    <t>Uradipil</t>
  </si>
  <si>
    <t>10mg i.v. (Ziel-RR 170/100mg)</t>
  </si>
  <si>
    <t>Nitrospray + Metoprolol</t>
  </si>
  <si>
    <t>2 Hub s.l. + 2,5mg-weise i.v.</t>
  </si>
  <si>
    <t>Uradipil + Furosemid</t>
  </si>
  <si>
    <t>10mg-weise i.v. + 40mg i.v.</t>
  </si>
  <si>
    <t>*RR diastolisch &gt;120mmHg + Organschäden (Th.: diastolische RR-Senkung max. 25% in 6h)</t>
  </si>
  <si>
    <t>*RR diastolisch &gt;120mmHg ohne Organschäden</t>
  </si>
  <si>
    <t>23,75 - 47.5mg p.o.</t>
  </si>
  <si>
    <t>50mg i.v.</t>
  </si>
  <si>
    <t>Ajmalin</t>
  </si>
  <si>
    <t>Adrenalin + Prednisolon + Clemastin + Ringer</t>
  </si>
  <si>
    <t>Adrenalin + Prednisolon + Clemastin + Salbutamol-Inh.</t>
  </si>
  <si>
    <t>0,5mg i.m. + 250-1000mg i.v. + 4mg ü. 2min + 1000ml</t>
  </si>
  <si>
    <t>0,5mg i.m. + 250-1000mg i.v. + 4mg ü. 2min + 2,5-5mg</t>
  </si>
  <si>
    <t>Pantoprazol + Erythromycin + ggf. EK (Hb &lt;7-8)</t>
  </si>
  <si>
    <t>2x40mg/d + 250mg i.v. + 1 EK für 1 Hb-Punkt</t>
  </si>
  <si>
    <t>Idarucizumab</t>
  </si>
  <si>
    <t>Praxbind</t>
  </si>
  <si>
    <t>5mg</t>
  </si>
  <si>
    <t>Andexanet alfa</t>
  </si>
  <si>
    <t>Status epilepticus</t>
  </si>
  <si>
    <t>Lorazepam</t>
  </si>
  <si>
    <t>Delir (agrressiv o. bek. Psychose)</t>
  </si>
  <si>
    <t>Haldol</t>
  </si>
  <si>
    <t>Haloperidol + Midazolam</t>
  </si>
  <si>
    <t>5mg i.v./i.m. + 2,5-5mg i.v. /i.m.</t>
  </si>
  <si>
    <t>Anexate</t>
  </si>
  <si>
    <t>0,2mg i.v. (ggf. 0,1mg nachgeben)</t>
  </si>
  <si>
    <t>1mg</t>
  </si>
  <si>
    <t>Atropin</t>
  </si>
  <si>
    <t>1mg i.v., dann Perfusor 0,5-1mg/h bis 24h</t>
  </si>
  <si>
    <t>Colestyramin</t>
  </si>
  <si>
    <t>8g p.o.</t>
  </si>
  <si>
    <t>Alkohol-Entzugsdelir</t>
  </si>
  <si>
    <t>Distraneurin</t>
  </si>
  <si>
    <t>Clomethiazol</t>
  </si>
  <si>
    <t>192mg 2-2-2-2</t>
  </si>
  <si>
    <t>Diazepam 10 mg p.o. 6x/d + Haloperidol 3-6x/d</t>
  </si>
  <si>
    <t>Glukose 10%-Lösung + Insulin</t>
  </si>
  <si>
    <t>250ml + 10 I.E. über 15 Minuten</t>
  </si>
  <si>
    <t>Glukose 10%-Lösung + Insulin +Salbutamol-Inhalation</t>
  </si>
  <si>
    <t>250ml + 10 I.E. über 15 Minuten + 10-20mg bis 6 Std.</t>
  </si>
  <si>
    <t xml:space="preserve">wie Hyperkaliämie + Kalziumchlorid </t>
  </si>
  <si>
    <t>Kalium(chlorid) + Ringer</t>
  </si>
  <si>
    <t>20mmol + 500ml (über 2h)</t>
  </si>
  <si>
    <t>Butylscopulamin + Moprhin oder Metamizol</t>
  </si>
  <si>
    <t>20-40mg i.v. + 2,5-5mg i.v. oder 1-2,5g i.v. als KI</t>
  </si>
  <si>
    <t>Koma diabeticum</t>
  </si>
  <si>
    <t>NaCl 0,9%-Lsg +  Kalium (wenn &lt;3,3), dann Insulin</t>
  </si>
  <si>
    <t>10g</t>
  </si>
  <si>
    <t>Valaciclovir</t>
  </si>
  <si>
    <t>1000mg p.o. 1-1-1</t>
  </si>
  <si>
    <t>Aciclovir 800mg p.o. 1-1-1-1-1</t>
  </si>
  <si>
    <t>Hypotonie</t>
  </si>
  <si>
    <t>Akrinor</t>
  </si>
  <si>
    <t>10mg (1 Ampulle) + 10mg (2ml-weise)</t>
  </si>
  <si>
    <t>Cafedrin + NaCl-Lsg</t>
  </si>
  <si>
    <t>Pethidin-HCl</t>
  </si>
  <si>
    <t>Novalminsulfon</t>
  </si>
  <si>
    <t>Metamizol</t>
  </si>
  <si>
    <t>MSI</t>
  </si>
  <si>
    <t>5-10mg i.v.</t>
  </si>
  <si>
    <t>25-50mg i.v.</t>
  </si>
  <si>
    <t>1g i.v. oder 30 Tropfen p.o.</t>
  </si>
  <si>
    <t>20-40mg i.v.</t>
  </si>
  <si>
    <t>10ml 10%-ig i.v.</t>
  </si>
  <si>
    <t>Cordarex</t>
  </si>
  <si>
    <t>X-Systo, Selexid</t>
  </si>
  <si>
    <t>Valtrex</t>
  </si>
  <si>
    <t>ASS + Ticagrelor + Heparin [UFH] (ggf. Moprhin)</t>
  </si>
  <si>
    <t xml:space="preserve">best. RR-Medikation aufdosieren, sonst Metoprolol </t>
  </si>
  <si>
    <t>Nitrolingual + beloc zok</t>
  </si>
  <si>
    <t>Ebrantil</t>
  </si>
  <si>
    <t>Lasix + Nitrolingual + MSI</t>
  </si>
  <si>
    <t>Ebrantil + Lasix</t>
  </si>
  <si>
    <t>Tavanic</t>
  </si>
  <si>
    <t>Dantamac</t>
  </si>
  <si>
    <t>Rocephin (Cef)</t>
  </si>
  <si>
    <t>Acetylcystein (ACC)</t>
  </si>
  <si>
    <t>Acemuc, Acetyst</t>
  </si>
  <si>
    <t>Styphylex</t>
  </si>
  <si>
    <t>Monuril (Fosfo)</t>
  </si>
  <si>
    <t>Adrenalin</t>
  </si>
  <si>
    <t>Adrenalin + Amiodaron (nach 3. Schock)</t>
  </si>
  <si>
    <t>1mg als Bolus, dann alle 4 Min 1mg pur + 300mg i.v.</t>
  </si>
  <si>
    <t>Metoprolol (CAVE: Bronchospasmus)</t>
  </si>
  <si>
    <t>Dosierung/ml</t>
  </si>
  <si>
    <t>Laufrate</t>
  </si>
  <si>
    <t>Dosisanpassung</t>
  </si>
  <si>
    <t>Medikament</t>
  </si>
  <si>
    <t>Arterenol</t>
  </si>
  <si>
    <t>Dobutamin</t>
  </si>
  <si>
    <t>Glycerolnitrat</t>
  </si>
  <si>
    <t>Clonidin</t>
  </si>
  <si>
    <t>Reproterol</t>
  </si>
  <si>
    <t>Midazolam</t>
  </si>
  <si>
    <t>Propofol 1%</t>
  </si>
  <si>
    <t>Sufentanyl</t>
  </si>
  <si>
    <t>Rocuronium</t>
  </si>
  <si>
    <t>Lasix</t>
  </si>
  <si>
    <t>Kalium 7,46%</t>
  </si>
  <si>
    <t>Magnesium 10%</t>
  </si>
  <si>
    <t>Hydrocortison</t>
  </si>
  <si>
    <t>Neostigmin</t>
  </si>
  <si>
    <t>Handelsname</t>
  </si>
  <si>
    <t>Noradrenalin</t>
  </si>
  <si>
    <t>Dobutrex</t>
  </si>
  <si>
    <t>Suprarenin</t>
  </si>
  <si>
    <t>Urapidil</t>
  </si>
  <si>
    <t>Nitro</t>
  </si>
  <si>
    <t>Catapresan</t>
  </si>
  <si>
    <t>Aarane</t>
  </si>
  <si>
    <t>Dormicum</t>
  </si>
  <si>
    <t>Diprivan</t>
  </si>
  <si>
    <t>Sufenta</t>
  </si>
  <si>
    <t>Ketanest S</t>
  </si>
  <si>
    <t>Ketamin</t>
  </si>
  <si>
    <t>Esmeron</t>
  </si>
  <si>
    <t>Furosemid</t>
  </si>
  <si>
    <t>Neostig</t>
  </si>
  <si>
    <t>5 mg auf 50 ml</t>
  </si>
  <si>
    <t>500 mg auf 50 ml</t>
  </si>
  <si>
    <t>250 mg auf 50 ml</t>
  </si>
  <si>
    <t>50 mg auf 50 ml</t>
  </si>
  <si>
    <t>3 mg auf 45 ml</t>
  </si>
  <si>
    <t>900 µg auf 45 ml</t>
  </si>
  <si>
    <t>250 mg auf 50ml</t>
  </si>
  <si>
    <t>90 mg auf 45 ml</t>
  </si>
  <si>
    <t>1 mg auf 50 ml</t>
  </si>
  <si>
    <t>50 I.E. auf 50 ml</t>
  </si>
  <si>
    <t>n. Anordnung</t>
  </si>
  <si>
    <t>1200 mg auf 50 ml G5</t>
  </si>
  <si>
    <t>200 mg auf 50 ml</t>
  </si>
  <si>
    <t>100 µg/ml</t>
  </si>
  <si>
    <t>10 mg/ml</t>
  </si>
  <si>
    <t>5 mg/ml</t>
  </si>
  <si>
    <t>1 mg/ml</t>
  </si>
  <si>
    <t>60 µg/ml</t>
  </si>
  <si>
    <t>20 µg/ml</t>
  </si>
  <si>
    <t>2 mg/ml</t>
  </si>
  <si>
    <t>25 mg/ml</t>
  </si>
  <si>
    <t>0,6 mg/ml</t>
  </si>
  <si>
    <t>1 I.E./ml</t>
  </si>
  <si>
    <t>24 mg/ml</t>
  </si>
  <si>
    <t>4 mg/ml</t>
  </si>
  <si>
    <t>2-3mg über 30 min</t>
  </si>
  <si>
    <t>schwere NI / LI</t>
  </si>
  <si>
    <t>&gt; 2ml/h (nach Bilanz)</t>
  </si>
  <si>
    <t>5 - 20 mmol/h</t>
  </si>
  <si>
    <t>2 - 10 ml/h</t>
  </si>
  <si>
    <t>nur mit Benzodiazepin</t>
  </si>
  <si>
    <t>für Intubation</t>
  </si>
  <si>
    <t>Acetylsalicylsäure</t>
  </si>
  <si>
    <t>Ibuprofen</t>
  </si>
  <si>
    <t>Coxibe</t>
  </si>
  <si>
    <t>Zolendronsäure</t>
  </si>
  <si>
    <t>Pentamidin</t>
  </si>
  <si>
    <t>Tenofovir</t>
  </si>
  <si>
    <t>Foscarnet</t>
  </si>
  <si>
    <t>Cisplatin</t>
  </si>
  <si>
    <t>Amphotericin B</t>
  </si>
  <si>
    <t>Gentamycin</t>
  </si>
  <si>
    <t>Tobramycin</t>
  </si>
  <si>
    <t>Kontrastmittel</t>
  </si>
  <si>
    <t>Acetamonophen</t>
  </si>
  <si>
    <t>Paracetamol</t>
  </si>
  <si>
    <t>Penicillin</t>
  </si>
  <si>
    <t>Cephalosporine</t>
  </si>
  <si>
    <t>Amitryptilin</t>
  </si>
  <si>
    <t>Fluoxetin</t>
  </si>
  <si>
    <t>Voriconazol, Caspofungin</t>
  </si>
  <si>
    <t>Simvastatin</t>
  </si>
  <si>
    <t>Ezetimib</t>
  </si>
  <si>
    <t>Lithium</t>
  </si>
  <si>
    <t>nephrotoxisch</t>
  </si>
  <si>
    <t>hepatotoxisch</t>
  </si>
  <si>
    <t>QT-Zeit-Verlängerung</t>
  </si>
  <si>
    <t>Acarbose</t>
  </si>
  <si>
    <t>Allopurinol</t>
  </si>
  <si>
    <t>Bupropion</t>
  </si>
  <si>
    <t>Baclofen</t>
  </si>
  <si>
    <t>Isoniazid</t>
  </si>
  <si>
    <t>Ketoconazol</t>
  </si>
  <si>
    <t>Lisinopril</t>
  </si>
  <si>
    <t>Losartan</t>
  </si>
  <si>
    <t>Methotrexat</t>
  </si>
  <si>
    <t>Omeprazol</t>
  </si>
  <si>
    <t>Paroxetin</t>
  </si>
  <si>
    <t>Pyrazinamid</t>
  </si>
  <si>
    <t>Rifampicin</t>
  </si>
  <si>
    <t>Risperidon</t>
  </si>
  <si>
    <t>Sertralin</t>
  </si>
  <si>
    <t>Statine</t>
  </si>
  <si>
    <t>Tetrazykline</t>
  </si>
  <si>
    <t>Trazodone</t>
  </si>
  <si>
    <t>Trovafloxacin</t>
  </si>
  <si>
    <t>Valproat</t>
  </si>
  <si>
    <t>Diclofenac</t>
  </si>
  <si>
    <t>Medikament / Gruppe</t>
  </si>
  <si>
    <t>Amitriptylin</t>
  </si>
  <si>
    <t>Azathioprin</t>
  </si>
  <si>
    <t>Captopril</t>
  </si>
  <si>
    <t>Carbamazepin</t>
  </si>
  <si>
    <t>Cyproheptadine</t>
  </si>
  <si>
    <t>Enalapril</t>
  </si>
  <si>
    <t>Nitrofurantoin</t>
  </si>
  <si>
    <t>Phenobarbital</t>
  </si>
  <si>
    <t>Phenytoin</t>
  </si>
  <si>
    <t>Sulfonamide</t>
  </si>
  <si>
    <t>Verapamil</t>
  </si>
  <si>
    <t>Trimethoprim</t>
  </si>
  <si>
    <t>Chinidin</t>
  </si>
  <si>
    <t>Flecainid</t>
  </si>
  <si>
    <t>Sotalol</t>
  </si>
  <si>
    <t>Domperidon</t>
  </si>
  <si>
    <t>Ondansetron</t>
  </si>
  <si>
    <t>Mizolastin</t>
  </si>
  <si>
    <t>Terfenadin</t>
  </si>
  <si>
    <t>Chinolone</t>
  </si>
  <si>
    <t>Clarithromycin</t>
  </si>
  <si>
    <t>Cotrimoxazol</t>
  </si>
  <si>
    <t>Fluconazol</t>
  </si>
  <si>
    <t>Ketokonazol</t>
  </si>
  <si>
    <t>Chinin</t>
  </si>
  <si>
    <t>Hydrochloroquin</t>
  </si>
  <si>
    <t>Amisulprid</t>
  </si>
  <si>
    <t>Citalopram</t>
  </si>
  <si>
    <t>Escitalopram</t>
  </si>
  <si>
    <t>Haloperidol</t>
  </si>
  <si>
    <t>Fentanyl</t>
  </si>
  <si>
    <t>Methadon</t>
  </si>
  <si>
    <t>Pethidin</t>
  </si>
  <si>
    <t>Casaprid</t>
  </si>
  <si>
    <t>Aspirin</t>
  </si>
  <si>
    <t>Saroten</t>
  </si>
  <si>
    <t>Antiretrovirale Th. (ART)</t>
  </si>
  <si>
    <t>Celebrex, Arcoxia</t>
  </si>
  <si>
    <t>Voltaren</t>
  </si>
  <si>
    <t>MTX</t>
  </si>
  <si>
    <t>Mizollen</t>
  </si>
  <si>
    <t>Omep</t>
  </si>
  <si>
    <t>Risperdal</t>
  </si>
  <si>
    <t>Isoptin</t>
  </si>
  <si>
    <t>Aclasta, Zometa</t>
  </si>
  <si>
    <t>Arterielle Hypertonie</t>
  </si>
  <si>
    <t>(n 3.Schock)1mg Bolus+300mg Bolus[Adr.alle 4min 1mg pur]</t>
  </si>
  <si>
    <r>
      <t xml:space="preserve">WPW-Syndrom mit VHF </t>
    </r>
    <r>
      <rPr>
        <b/>
        <sz val="10"/>
        <color theme="1"/>
        <rFont val="Calibri"/>
        <family val="2"/>
        <scheme val="minor"/>
      </rPr>
      <t>(tachykard)</t>
    </r>
  </si>
  <si>
    <r>
      <t xml:space="preserve">Ventrikuläre Tachykardie </t>
    </r>
    <r>
      <rPr>
        <b/>
        <sz val="10"/>
        <color theme="1"/>
        <rFont val="Calibri"/>
        <family val="2"/>
        <scheme val="minor"/>
      </rPr>
      <t>(pulslos)</t>
    </r>
  </si>
  <si>
    <r>
      <t>Toursade de pointes (</t>
    </r>
    <r>
      <rPr>
        <b/>
        <sz val="10"/>
        <color theme="1"/>
        <rFont val="Calibri"/>
        <family val="2"/>
        <scheme val="minor"/>
      </rPr>
      <t>polymorphe VT</t>
    </r>
    <r>
      <rPr>
        <sz val="10"/>
        <color theme="1"/>
        <rFont val="Calibri"/>
        <family val="2"/>
        <scheme val="minor"/>
      </rPr>
      <t>)</t>
    </r>
  </si>
  <si>
    <r>
      <t>Soorösophagitis (</t>
    </r>
    <r>
      <rPr>
        <b/>
        <sz val="10"/>
        <color theme="1"/>
        <rFont val="Calibri"/>
        <family val="2"/>
        <scheme val="minor"/>
      </rPr>
      <t>Candida albicans</t>
    </r>
    <r>
      <rPr>
        <sz val="10"/>
        <color theme="1"/>
        <rFont val="Calibri"/>
        <family val="2"/>
        <scheme val="minor"/>
      </rPr>
      <t>)</t>
    </r>
  </si>
  <si>
    <r>
      <t xml:space="preserve">Sinustachykardie </t>
    </r>
    <r>
      <rPr>
        <b/>
        <sz val="10"/>
        <color theme="1"/>
        <rFont val="Calibri"/>
        <family val="2"/>
        <scheme val="minor"/>
      </rPr>
      <t>(Schmalkomplex)</t>
    </r>
  </si>
  <si>
    <r>
      <t xml:space="preserve">Sepsis, </t>
    </r>
    <r>
      <rPr>
        <b/>
        <sz val="10"/>
        <color theme="1"/>
        <rFont val="Calibri"/>
        <family val="2"/>
        <scheme val="minor"/>
      </rPr>
      <t>urogen</t>
    </r>
  </si>
  <si>
    <r>
      <t>AECOPD (V.a.</t>
    </r>
    <r>
      <rPr>
        <b/>
        <sz val="10"/>
        <color theme="1"/>
        <rFont val="Calibri"/>
        <family val="2"/>
        <scheme val="minor"/>
      </rPr>
      <t xml:space="preserve"> Pseudomonas</t>
    </r>
    <r>
      <rPr>
        <sz val="10"/>
        <color theme="1"/>
        <rFont val="Calibri"/>
        <family val="2"/>
        <scheme val="minor"/>
      </rPr>
      <t>)</t>
    </r>
  </si>
  <si>
    <r>
      <t xml:space="preserve">Allergischer Schock + </t>
    </r>
    <r>
      <rPr>
        <b/>
        <sz val="10"/>
        <color theme="1"/>
        <rFont val="Calibri"/>
        <family val="2"/>
        <scheme val="minor"/>
      </rPr>
      <t>Bronchospasmus</t>
    </r>
  </si>
  <si>
    <r>
      <t xml:space="preserve">Allergischer Schock + </t>
    </r>
    <r>
      <rPr>
        <b/>
        <sz val="10"/>
        <color theme="1"/>
        <rFont val="Calibri"/>
        <family val="2"/>
        <scheme val="minor"/>
      </rPr>
      <t>Hypotension</t>
    </r>
  </si>
  <si>
    <r>
      <t xml:space="preserve">Antagonisierung: </t>
    </r>
    <r>
      <rPr>
        <b/>
        <sz val="10"/>
        <color theme="1"/>
        <rFont val="Calibri"/>
        <family val="2"/>
        <scheme val="minor"/>
      </rPr>
      <t>Benzodiazepine</t>
    </r>
  </si>
  <si>
    <r>
      <t xml:space="preserve">Antagonisierung: </t>
    </r>
    <r>
      <rPr>
        <b/>
        <sz val="10"/>
        <color theme="1"/>
        <rFont val="Calibri"/>
        <family val="2"/>
        <scheme val="minor"/>
      </rPr>
      <t>Betablocker</t>
    </r>
  </si>
  <si>
    <r>
      <t xml:space="preserve">Antagonisierung: </t>
    </r>
    <r>
      <rPr>
        <b/>
        <sz val="10"/>
        <color theme="1"/>
        <rFont val="Calibri"/>
        <family val="2"/>
        <scheme val="minor"/>
      </rPr>
      <t>Dabigatran</t>
    </r>
  </si>
  <si>
    <r>
      <t xml:space="preserve">Antagonisierung: </t>
    </r>
    <r>
      <rPr>
        <b/>
        <sz val="10"/>
        <color theme="1"/>
        <rFont val="Calibri"/>
        <family val="2"/>
        <scheme val="minor"/>
      </rPr>
      <t>Digitalis</t>
    </r>
  </si>
  <si>
    <r>
      <t xml:space="preserve">Antagonisierung: </t>
    </r>
    <r>
      <rPr>
        <b/>
        <sz val="10"/>
        <color theme="1"/>
        <rFont val="Calibri"/>
        <family val="2"/>
        <scheme val="minor"/>
      </rPr>
      <t>Rivaroxaban,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Calibri"/>
        <family val="2"/>
        <scheme val="minor"/>
      </rPr>
      <t>Apixaban</t>
    </r>
  </si>
  <si>
    <r>
      <t>Beinvenenthrombose (</t>
    </r>
    <r>
      <rPr>
        <b/>
        <sz val="10"/>
        <color theme="1"/>
        <rFont val="Calibri"/>
        <family val="2"/>
        <scheme val="minor"/>
      </rPr>
      <t>TVT</t>
    </r>
    <r>
      <rPr>
        <sz val="10"/>
        <color theme="1"/>
        <rFont val="Calibri"/>
        <family val="2"/>
        <scheme val="minor"/>
      </rPr>
      <t>)</t>
    </r>
  </si>
  <si>
    <r>
      <t>Breitkomplextach. &amp; VHF (</t>
    </r>
    <r>
      <rPr>
        <b/>
        <sz val="10"/>
        <color theme="1"/>
        <rFont val="Calibri"/>
        <family val="2"/>
        <scheme val="minor"/>
      </rPr>
      <t>arhythmisch</t>
    </r>
    <r>
      <rPr>
        <sz val="10"/>
        <color theme="1"/>
        <rFont val="Calibri"/>
        <family val="2"/>
        <scheme val="minor"/>
      </rPr>
      <t>)</t>
    </r>
  </si>
  <si>
    <r>
      <t>Breitkomplextachykardie (</t>
    </r>
    <r>
      <rPr>
        <b/>
        <sz val="10"/>
        <color theme="1"/>
        <rFont val="Calibri"/>
        <family val="2"/>
        <scheme val="minor"/>
      </rPr>
      <t>rhythmisch</t>
    </r>
    <r>
      <rPr>
        <sz val="10"/>
        <color theme="1"/>
        <rFont val="Calibri"/>
        <family val="2"/>
        <scheme val="minor"/>
      </rPr>
      <t>)</t>
    </r>
  </si>
  <si>
    <r>
      <t>Endokarditis, bakt. (</t>
    </r>
    <r>
      <rPr>
        <b/>
        <sz val="10"/>
        <color theme="1"/>
        <rFont val="Calibri"/>
        <family val="2"/>
        <scheme val="minor"/>
      </rPr>
      <t>nach Klappe &lt;12M</t>
    </r>
    <r>
      <rPr>
        <sz val="10"/>
        <color theme="1"/>
        <rFont val="Calibri"/>
        <family val="2"/>
        <scheme val="minor"/>
      </rPr>
      <t>)</t>
    </r>
  </si>
  <si>
    <r>
      <t>Endokarditis, bakt. (</t>
    </r>
    <r>
      <rPr>
        <b/>
        <sz val="10"/>
        <color theme="1"/>
        <rFont val="Calibri"/>
        <family val="2"/>
        <scheme val="minor"/>
      </rPr>
      <t>nativ, Klappe &gt;12M</t>
    </r>
    <r>
      <rPr>
        <sz val="10"/>
        <color theme="1"/>
        <rFont val="Calibri"/>
        <family val="2"/>
        <scheme val="minor"/>
      </rPr>
      <t>)</t>
    </r>
  </si>
  <si>
    <r>
      <t>Gasbrand (</t>
    </r>
    <r>
      <rPr>
        <b/>
        <sz val="10"/>
        <color theme="1"/>
        <rFont val="Calibri"/>
        <family val="2"/>
        <scheme val="minor"/>
      </rPr>
      <t>Clostridium perfringens</t>
    </r>
    <r>
      <rPr>
        <sz val="10"/>
        <color theme="1"/>
        <rFont val="Calibri"/>
        <family val="2"/>
        <scheme val="minor"/>
      </rPr>
      <t>)</t>
    </r>
  </si>
  <si>
    <r>
      <t xml:space="preserve">Gastrointestinale Blutung, </t>
    </r>
    <r>
      <rPr>
        <b/>
        <sz val="10"/>
        <color theme="1"/>
        <rFont val="Calibri"/>
        <family val="2"/>
        <scheme val="minor"/>
      </rPr>
      <t>obere</t>
    </r>
  </si>
  <si>
    <r>
      <t xml:space="preserve">Harnwegsinfekt, </t>
    </r>
    <r>
      <rPr>
        <b/>
        <sz val="10"/>
        <color theme="1"/>
        <rFont val="Calibri"/>
        <family val="2"/>
        <scheme val="minor"/>
      </rPr>
      <t>katheterassoziiert</t>
    </r>
  </si>
  <si>
    <r>
      <t xml:space="preserve">Harnwegsinfekt, </t>
    </r>
    <r>
      <rPr>
        <b/>
        <sz val="10"/>
        <color theme="1"/>
        <rFont val="Calibri"/>
        <family val="2"/>
        <scheme val="minor"/>
      </rPr>
      <t>kompliziert</t>
    </r>
  </si>
  <si>
    <r>
      <t xml:space="preserve">Harnwegsinfekt, </t>
    </r>
    <r>
      <rPr>
        <b/>
        <sz val="10"/>
        <color theme="1"/>
        <rFont val="Calibri"/>
        <family val="2"/>
        <scheme val="minor"/>
      </rPr>
      <t>nosokomial</t>
    </r>
  </si>
  <si>
    <r>
      <t xml:space="preserve">Harnwegsinfekt, </t>
    </r>
    <r>
      <rPr>
        <b/>
        <sz val="10"/>
        <color theme="1"/>
        <rFont val="Calibri"/>
        <family val="2"/>
        <scheme val="minor"/>
      </rPr>
      <t>unkompliziert</t>
    </r>
  </si>
  <si>
    <r>
      <t>Helicobacter pylori (</t>
    </r>
    <r>
      <rPr>
        <b/>
        <sz val="10"/>
        <color theme="1"/>
        <rFont val="Calibri"/>
        <family val="2"/>
        <scheme val="minor"/>
      </rPr>
      <t>Eradikation</t>
    </r>
    <r>
      <rPr>
        <sz val="10"/>
        <color theme="1"/>
        <rFont val="Calibri"/>
        <family val="2"/>
        <scheme val="minor"/>
      </rPr>
      <t>)</t>
    </r>
  </si>
  <si>
    <r>
      <t>Herpes zoster (</t>
    </r>
    <r>
      <rPr>
        <b/>
        <sz val="10"/>
        <color theme="1"/>
        <rFont val="Calibri"/>
        <family val="2"/>
        <scheme val="minor"/>
      </rPr>
      <t>unkompliziert</t>
    </r>
    <r>
      <rPr>
        <sz val="10"/>
        <color theme="1"/>
        <rFont val="Calibri"/>
        <family val="2"/>
        <scheme val="minor"/>
      </rPr>
      <t>)</t>
    </r>
  </si>
  <si>
    <r>
      <t>Hyperkaliämie (</t>
    </r>
    <r>
      <rPr>
        <b/>
        <sz val="10"/>
        <color theme="1"/>
        <rFont val="Calibri"/>
        <family val="2"/>
        <scheme val="minor"/>
      </rPr>
      <t>&gt;6,5 mmol/l</t>
    </r>
    <r>
      <rPr>
        <sz val="10"/>
        <color theme="1"/>
        <rFont val="Calibri"/>
        <family val="2"/>
        <scheme val="minor"/>
      </rPr>
      <t>)</t>
    </r>
  </si>
  <si>
    <r>
      <t>Hyperkaliämie (</t>
    </r>
    <r>
      <rPr>
        <b/>
        <sz val="10"/>
        <color theme="1"/>
        <rFont val="Calibri"/>
        <family val="2"/>
        <scheme val="minor"/>
      </rPr>
      <t>6-6,4mmol/l</t>
    </r>
    <r>
      <rPr>
        <sz val="10"/>
        <color theme="1"/>
        <rFont val="Calibri"/>
        <family val="2"/>
        <scheme val="minor"/>
      </rPr>
      <t>)</t>
    </r>
  </si>
  <si>
    <r>
      <t xml:space="preserve">Hyperkaliämie (EKG: </t>
    </r>
    <r>
      <rPr>
        <b/>
        <sz val="10"/>
        <color theme="1"/>
        <rFont val="Calibri"/>
        <family val="2"/>
        <scheme val="minor"/>
      </rPr>
      <t>Breitkomplex &gt;0,12</t>
    </r>
    <r>
      <rPr>
        <sz val="10"/>
        <color theme="1"/>
        <rFont val="Calibri"/>
        <family val="2"/>
        <scheme val="minor"/>
      </rPr>
      <t>)</t>
    </r>
  </si>
  <si>
    <r>
      <t xml:space="preserve">Hypertensiver Notfall* + </t>
    </r>
    <r>
      <rPr>
        <b/>
        <sz val="10"/>
        <color theme="1"/>
        <rFont val="Calibri"/>
        <family val="2"/>
        <scheme val="minor"/>
      </rPr>
      <t>AP/Myocardinf.</t>
    </r>
  </si>
  <si>
    <r>
      <t xml:space="preserve">Hypertensiver Notfall* + </t>
    </r>
    <r>
      <rPr>
        <b/>
        <sz val="10"/>
        <color theme="1"/>
        <rFont val="Calibri"/>
        <family val="2"/>
        <scheme val="minor"/>
      </rPr>
      <t>hyp. Encephalop.</t>
    </r>
  </si>
  <si>
    <r>
      <t xml:space="preserve">Hypertensiver Notfall* + </t>
    </r>
    <r>
      <rPr>
        <b/>
        <sz val="10"/>
        <color theme="1"/>
        <rFont val="Calibri"/>
        <family val="2"/>
        <scheme val="minor"/>
      </rPr>
      <t>Lungenödem</t>
    </r>
  </si>
  <si>
    <r>
      <t xml:space="preserve">Hypertensiver Notfall* + </t>
    </r>
    <r>
      <rPr>
        <b/>
        <sz val="10"/>
        <color theme="1"/>
        <rFont val="Calibri"/>
        <family val="2"/>
        <scheme val="minor"/>
      </rPr>
      <t>Niereninsuff.</t>
    </r>
  </si>
  <si>
    <r>
      <t>Hypokaliämie (</t>
    </r>
    <r>
      <rPr>
        <b/>
        <sz val="10"/>
        <color theme="1"/>
        <rFont val="Calibri"/>
        <family val="2"/>
        <scheme val="minor"/>
      </rPr>
      <t>&lt;3 mmol/l</t>
    </r>
    <r>
      <rPr>
        <sz val="10"/>
        <color theme="1"/>
        <rFont val="Calibri"/>
        <family val="2"/>
        <scheme val="minor"/>
      </rPr>
      <t>)</t>
    </r>
  </si>
  <si>
    <r>
      <t>Lungenarterienembolie (</t>
    </r>
    <r>
      <rPr>
        <b/>
        <sz val="10"/>
        <color theme="1"/>
        <rFont val="Calibri"/>
        <family val="2"/>
        <scheme val="minor"/>
      </rPr>
      <t>LAE</t>
    </r>
    <r>
      <rPr>
        <sz val="10"/>
        <color theme="1"/>
        <rFont val="Calibri"/>
        <family val="2"/>
        <scheme val="minor"/>
      </rPr>
      <t>)</t>
    </r>
  </si>
  <si>
    <r>
      <t>Nierenkolik (</t>
    </r>
    <r>
      <rPr>
        <b/>
        <sz val="10"/>
        <color theme="1"/>
        <rFont val="Calibri"/>
        <family val="2"/>
        <scheme val="minor"/>
      </rPr>
      <t>Urolithiasis</t>
    </r>
    <r>
      <rPr>
        <sz val="10"/>
        <color theme="1"/>
        <rFont val="Calibri"/>
        <family val="2"/>
        <scheme val="minor"/>
      </rPr>
      <t>)</t>
    </r>
  </si>
  <si>
    <r>
      <t>Pankreatitis, infiziert-</t>
    </r>
    <r>
      <rPr>
        <b/>
        <sz val="10"/>
        <color theme="1"/>
        <rFont val="Calibri"/>
        <family val="2"/>
        <scheme val="minor"/>
      </rPr>
      <t>nekrotisierend</t>
    </r>
  </si>
  <si>
    <r>
      <rPr>
        <b/>
        <sz val="10"/>
        <color theme="1"/>
        <rFont val="Calibri"/>
        <family val="2"/>
        <scheme val="minor"/>
      </rPr>
      <t>Paracetamol</t>
    </r>
    <r>
      <rPr>
        <sz val="10"/>
        <color theme="1"/>
        <rFont val="Calibri"/>
        <family val="2"/>
        <scheme val="minor"/>
      </rPr>
      <t>-Intoxikation</t>
    </r>
  </si>
  <si>
    <r>
      <t>Phlegmone (</t>
    </r>
    <r>
      <rPr>
        <b/>
        <sz val="10"/>
        <color theme="1"/>
        <rFont val="Calibri"/>
        <family val="2"/>
        <scheme val="minor"/>
      </rPr>
      <t>leichte Form</t>
    </r>
    <r>
      <rPr>
        <sz val="10"/>
        <color theme="1"/>
        <rFont val="Calibri"/>
        <family val="2"/>
        <scheme val="minor"/>
      </rPr>
      <t>)</t>
    </r>
  </si>
  <si>
    <r>
      <t>Phlegmone (</t>
    </r>
    <r>
      <rPr>
        <b/>
        <sz val="10"/>
        <color theme="1"/>
        <rFont val="Calibri"/>
        <family val="2"/>
        <scheme val="minor"/>
      </rPr>
      <t>schwere Form</t>
    </r>
    <r>
      <rPr>
        <sz val="10"/>
        <color theme="1"/>
        <rFont val="Calibri"/>
        <family val="2"/>
        <scheme val="minor"/>
      </rPr>
      <t>)</t>
    </r>
  </si>
  <si>
    <r>
      <rPr>
        <b/>
        <sz val="10"/>
        <color theme="1"/>
        <rFont val="Calibri"/>
        <family val="2"/>
        <scheme val="minor"/>
      </rPr>
      <t>Pseudomonas</t>
    </r>
    <r>
      <rPr>
        <sz val="10"/>
        <color theme="1"/>
        <rFont val="Calibri"/>
        <family val="2"/>
        <scheme val="minor"/>
      </rPr>
      <t>-Pneumonie</t>
    </r>
  </si>
  <si>
    <r>
      <t xml:space="preserve">Schmerzen, </t>
    </r>
    <r>
      <rPr>
        <b/>
        <sz val="10"/>
        <color theme="1"/>
        <rFont val="Calibri"/>
        <family val="2"/>
        <scheme val="minor"/>
      </rPr>
      <t>mild</t>
    </r>
  </si>
  <si>
    <r>
      <t xml:space="preserve">Schmerzen, </t>
    </r>
    <r>
      <rPr>
        <b/>
        <sz val="10"/>
        <color theme="1"/>
        <rFont val="Calibri"/>
        <family val="2"/>
        <scheme val="minor"/>
      </rPr>
      <t>sehr stark</t>
    </r>
  </si>
  <si>
    <r>
      <t xml:space="preserve">Schmerzen, </t>
    </r>
    <r>
      <rPr>
        <b/>
        <sz val="10"/>
        <color theme="1"/>
        <rFont val="Calibri"/>
        <family val="2"/>
        <scheme val="minor"/>
      </rPr>
      <t>stark</t>
    </r>
  </si>
  <si>
    <r>
      <t>Sepsis, ambulant (</t>
    </r>
    <r>
      <rPr>
        <b/>
        <sz val="10"/>
        <color theme="1"/>
        <rFont val="Calibri"/>
        <family val="2"/>
        <scheme val="minor"/>
      </rPr>
      <t>unklarer Fokus</t>
    </r>
    <r>
      <rPr>
        <sz val="10"/>
        <color theme="1"/>
        <rFont val="Calibri"/>
        <family val="2"/>
        <scheme val="minor"/>
      </rPr>
      <t>)</t>
    </r>
  </si>
  <si>
    <r>
      <t xml:space="preserve">Sepsis, </t>
    </r>
    <r>
      <rPr>
        <b/>
        <sz val="10"/>
        <color theme="1"/>
        <rFont val="Calibri"/>
        <family val="2"/>
        <scheme val="minor"/>
      </rPr>
      <t>gastrointestinaler</t>
    </r>
    <r>
      <rPr>
        <sz val="10"/>
        <color theme="1"/>
        <rFont val="Calibri"/>
        <family val="2"/>
        <scheme val="minor"/>
      </rPr>
      <t xml:space="preserve"> Herd</t>
    </r>
  </si>
  <si>
    <r>
      <t xml:space="preserve">Sepsis, </t>
    </r>
    <r>
      <rPr>
        <b/>
        <sz val="10"/>
        <color theme="1"/>
        <rFont val="Calibri"/>
        <family val="2"/>
        <scheme val="minor"/>
      </rPr>
      <t>kathetherassoziiert</t>
    </r>
  </si>
  <si>
    <r>
      <t>Sepsis, nosokomial (</t>
    </r>
    <r>
      <rPr>
        <b/>
        <sz val="10"/>
        <color theme="1"/>
        <rFont val="Calibri"/>
        <family val="2"/>
        <scheme val="minor"/>
      </rPr>
      <t>unklarer Fokus</t>
    </r>
    <r>
      <rPr>
        <sz val="10"/>
        <color theme="1"/>
        <rFont val="Calibri"/>
        <family val="2"/>
        <scheme val="minor"/>
      </rPr>
      <t>)</t>
    </r>
  </si>
  <si>
    <r>
      <t>Sepsis, pneumogen (</t>
    </r>
    <r>
      <rPr>
        <b/>
        <sz val="10"/>
        <color theme="1"/>
        <rFont val="Calibri"/>
        <family val="2"/>
        <scheme val="minor"/>
      </rPr>
      <t>ambulant</t>
    </r>
    <r>
      <rPr>
        <sz val="10"/>
        <color theme="1"/>
        <rFont val="Calibri"/>
        <family val="2"/>
        <scheme val="minor"/>
      </rPr>
      <t>)</t>
    </r>
  </si>
  <si>
    <r>
      <t>Sepsis, pneumogen (</t>
    </r>
    <r>
      <rPr>
        <b/>
        <sz val="10"/>
        <color theme="1"/>
        <rFont val="Calibri"/>
        <family val="2"/>
        <scheme val="minor"/>
      </rPr>
      <t>nosokomial</t>
    </r>
    <r>
      <rPr>
        <sz val="10"/>
        <color theme="1"/>
        <rFont val="Calibri"/>
        <family val="2"/>
        <scheme val="minor"/>
      </rPr>
      <t>)</t>
    </r>
  </si>
  <si>
    <t>Amphetamine</t>
  </si>
  <si>
    <t>Barbiturate</t>
  </si>
  <si>
    <t>Oxygenierungsindex (Horovitz-Quotient)</t>
  </si>
  <si>
    <t>Wells-Score (LAE)</t>
  </si>
  <si>
    <t>Klinische TVT-Zeichen</t>
  </si>
  <si>
    <t>Lungenembolie = wahrscheinlichste Diagnose</t>
  </si>
  <si>
    <t>Tachykardie &gt;100/min</t>
  </si>
  <si>
    <t>längere Immobilisation &gt;3d (z.B. n. OP)</t>
  </si>
  <si>
    <t>Anamnese: TVT o. LAE</t>
  </si>
  <si>
    <t>Hämoptysen</t>
  </si>
  <si>
    <t>Neu (&lt;6 Mon) diagnostiziertes Malignom</t>
  </si>
  <si>
    <t>nein</t>
  </si>
  <si>
    <t>Wells-Score (TVT)</t>
  </si>
  <si>
    <t>Aktive Krebserkrankung</t>
  </si>
  <si>
    <t xml:space="preserve">Anamnese: TVT  </t>
  </si>
  <si>
    <t>Immobilisation &gt;3d (z.B. n. OP)</t>
  </si>
  <si>
    <t>Lähmung/Immobilisierung der Beine</t>
  </si>
  <si>
    <t>Schmerzen/Verhärtung d. tiefen Venen</t>
  </si>
  <si>
    <t>Beinschwellung</t>
  </si>
  <si>
    <t>Umfangsdifferenz &gt;3cm</t>
  </si>
  <si>
    <t>Eindrückbares (Delle) Ödem der betroffenen Seite</t>
  </si>
  <si>
    <t>Sichtbare Kollateralvenen</t>
  </si>
  <si>
    <t>Andere Diagnose gleich oder eher wahrscheinlich</t>
  </si>
  <si>
    <t>Alter &gt;75 Jahre</t>
  </si>
  <si>
    <t>Diabetes mellitus</t>
  </si>
  <si>
    <t>Anamnese: Apoplex/TIA/Thrombembolie</t>
  </si>
  <si>
    <t>Anamnese: vaskuläre Vorerkrankungen</t>
  </si>
  <si>
    <t>Alter zwischen 65 &amp; 74</t>
  </si>
  <si>
    <t>Geschlecht: weiblich</t>
  </si>
  <si>
    <r>
      <t>CHA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DS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VASC-Score (Apoplex-Risiko)</t>
    </r>
  </si>
  <si>
    <t>Chronische Herzinsuffizienz / LV-Dysfunktion</t>
  </si>
  <si>
    <t>Abnorme Leberfunktion</t>
  </si>
  <si>
    <t>Abnorme Nierenfunktion</t>
  </si>
  <si>
    <t>Anamnese: Apoplex</t>
  </si>
  <si>
    <t>Anamnese: Blutungsneigung/Hämophilie</t>
  </si>
  <si>
    <t>Stark schwankende INR-Werte</t>
  </si>
  <si>
    <t>Alter &gt;65 Jahre</t>
  </si>
  <si>
    <t>Medikamente: NSAR, Thrombozytenaggr.hemmer</t>
  </si>
  <si>
    <t>Alkoholabusus</t>
  </si>
  <si>
    <t>HAS BLED-Score (Blutungsrisiko b. VHF vor OAK)</t>
  </si>
  <si>
    <t>SAN FRANCISCO Syncope Rule ((prä-)Synkope)</t>
  </si>
  <si>
    <t>Herzinsuffizienz (m. Stauungssymptomatik)</t>
  </si>
  <si>
    <t>Hämatokrit &lt; 30%</t>
  </si>
  <si>
    <t>EKG-Veränderung o. Nicht-Sinus-Rhythmus</t>
  </si>
  <si>
    <t>Dyspnoe</t>
  </si>
  <si>
    <t>Systolische Blutdruck &lt;90 mmHg</t>
  </si>
  <si>
    <t>Flumazonil</t>
  </si>
  <si>
    <t>Troponin (Infarktwahrscheinlichkeit)</t>
  </si>
  <si>
    <t>Erster Troponinwert (µg/L)</t>
  </si>
  <si>
    <t>Zweiter Troponinwert (µg/L)</t>
  </si>
  <si>
    <t>nach 6 h</t>
  </si>
  <si>
    <t>Kreatininwert (mg/dl)</t>
  </si>
  <si>
    <t>CRUB-65</t>
  </si>
  <si>
    <t>Verwirrtheit (Confusion)</t>
  </si>
  <si>
    <t>Atemfrequenz (Respiratory Rate)</t>
  </si>
  <si>
    <t>Harnsäure (Urea)</t>
  </si>
  <si>
    <t>Blutdruck (Blood pressure)</t>
  </si>
  <si>
    <t>Alter &gt;65 (Age 65 or older)</t>
  </si>
  <si>
    <t>Wie alt sind sie ?</t>
  </si>
  <si>
    <t>Welche Uhrzeit ist es (+/- 1h)</t>
  </si>
  <si>
    <t>Adresse wiederholen</t>
  </si>
  <si>
    <t>Welches Jahr haben wir ?</t>
  </si>
  <si>
    <t>Erkennen Sie 2 Personen ?</t>
  </si>
  <si>
    <t>Wann sind Sie geboren ?</t>
  </si>
  <si>
    <t>Wann war das Ende vom 2. WK ?</t>
  </si>
  <si>
    <t>Wer ist aktueller Kanzler ?</t>
  </si>
  <si>
    <t xml:space="preserve">Rückwärts zählen von 10 auf 1 </t>
  </si>
  <si>
    <t>In welchem KH sind wir ?</t>
  </si>
  <si>
    <t>&lt;30</t>
  </si>
  <si>
    <t>&gt;90sys/&gt;60dia</t>
  </si>
  <si>
    <t>&lt;7</t>
  </si>
  <si>
    <t>Pantoprazol</t>
  </si>
  <si>
    <t>Pantozol</t>
  </si>
  <si>
    <t>2ml/h</t>
  </si>
  <si>
    <t>Hyponatriämie</t>
  </si>
  <si>
    <t>Toxizität / UAW</t>
  </si>
  <si>
    <t>Rhabdomyolyse</t>
  </si>
  <si>
    <t>Pneumonitis</t>
  </si>
  <si>
    <t>Sehnenläsion</t>
  </si>
  <si>
    <t>Hypernatriämie</t>
  </si>
  <si>
    <t>Hypokaliämie</t>
  </si>
  <si>
    <t>Hyperkaliämie</t>
  </si>
  <si>
    <t>Hydrochlorothiazid</t>
  </si>
  <si>
    <t>Indapamid</t>
  </si>
  <si>
    <t>Doxepin</t>
  </si>
  <si>
    <t>Mirtazapin</t>
  </si>
  <si>
    <t>Venlafaxin</t>
  </si>
  <si>
    <t>Duloxetin</t>
  </si>
  <si>
    <t>Levomepromazin</t>
  </si>
  <si>
    <t>Thioridazin</t>
  </si>
  <si>
    <t>Tranylcipromin</t>
  </si>
  <si>
    <t>Moclobemid</t>
  </si>
  <si>
    <t>Selegilin</t>
  </si>
  <si>
    <t>Oxarbazepin</t>
  </si>
  <si>
    <t>Lamotrigin</t>
  </si>
  <si>
    <t>Morphium</t>
  </si>
  <si>
    <t>Cyclophosphamid</t>
  </si>
  <si>
    <t>Vincristin</t>
  </si>
  <si>
    <t>Carboplatin</t>
  </si>
  <si>
    <t>Hypertensive Krise*</t>
  </si>
  <si>
    <t>Aszites</t>
  </si>
  <si>
    <t>Humanalbumin</t>
  </si>
  <si>
    <t>20g pro 4L Aszites</t>
  </si>
  <si>
    <t>200mg auf 50ml</t>
  </si>
  <si>
    <t>Heparin</t>
  </si>
  <si>
    <t>500 IE/ml</t>
  </si>
  <si>
    <t>25000 IE auf 50ml</t>
  </si>
  <si>
    <t>pO2</t>
  </si>
  <si>
    <t>pCO2</t>
  </si>
  <si>
    <t>FiO2</t>
  </si>
  <si>
    <t>Invasive und nicht-invasive Beatmung</t>
  </si>
  <si>
    <t>Parameter</t>
  </si>
  <si>
    <t>Soll min</t>
  </si>
  <si>
    <t>Soll max</t>
  </si>
  <si>
    <t>Empfehlung</t>
  </si>
  <si>
    <t>Einheit</t>
  </si>
  <si>
    <t>%</t>
  </si>
  <si>
    <t>%min Vol</t>
  </si>
  <si>
    <t>Pmax</t>
  </si>
  <si>
    <t>Hubvolumen</t>
  </si>
  <si>
    <t>VTml</t>
  </si>
  <si>
    <t>mbar</t>
  </si>
  <si>
    <t>Atemfrequenz</t>
  </si>
  <si>
    <t>/min</t>
  </si>
  <si>
    <t>Inspiration:Expiration</t>
  </si>
  <si>
    <t>Flow</t>
  </si>
  <si>
    <t>Trachvent O2 Insufflation TV</t>
  </si>
  <si>
    <t>l/min</t>
  </si>
  <si>
    <t>Psupport</t>
  </si>
  <si>
    <t>PEEP</t>
  </si>
  <si>
    <t>ETS</t>
  </si>
  <si>
    <t>Flusstrigger</t>
  </si>
  <si>
    <t>Frequenz total</t>
  </si>
  <si>
    <t>fTotal l/min</t>
  </si>
  <si>
    <t>Vte ml</t>
  </si>
  <si>
    <t>Zugvolumen</t>
  </si>
  <si>
    <t>VTASB ml</t>
  </si>
  <si>
    <t>Minutenvolumen</t>
  </si>
  <si>
    <t>MVI</t>
  </si>
  <si>
    <t>Min Vol spontan</t>
  </si>
  <si>
    <t>MVspn l</t>
  </si>
  <si>
    <t>Frequenz spontan</t>
  </si>
  <si>
    <t>fspn l/min</t>
  </si>
  <si>
    <t>Respiratorische Azidose</t>
  </si>
  <si>
    <t>Respiratorische Alkalose</t>
  </si>
  <si>
    <t>Metabolische Azidose</t>
  </si>
  <si>
    <t>Metabolische Alkalose</t>
  </si>
  <si>
    <t>Kombinierte Azidose</t>
  </si>
  <si>
    <t>Kombinierte Alkalose</t>
  </si>
  <si>
    <t>Respiratorische Partialinsuffizienz</t>
  </si>
  <si>
    <t>Respiratorische Globalinsuffizienz</t>
  </si>
  <si>
    <t>pH</t>
  </si>
  <si>
    <t>HCO3-</t>
  </si>
  <si>
    <t>BE</t>
  </si>
  <si>
    <t>Soll MIN</t>
  </si>
  <si>
    <t>Soll MAX</t>
  </si>
  <si>
    <t>IST</t>
  </si>
  <si>
    <r>
      <t xml:space="preserve">BGA </t>
    </r>
    <r>
      <rPr>
        <b/>
        <sz val="11"/>
        <color theme="1"/>
        <rFont val="Calibri"/>
        <family val="2"/>
        <scheme val="minor"/>
      </rPr>
      <t>(arteriell)</t>
    </r>
  </si>
  <si>
    <r>
      <t>pCO</t>
    </r>
    <r>
      <rPr>
        <vertAlign val="superscript"/>
        <sz val="11"/>
        <color theme="1"/>
        <rFont val="Calibri"/>
        <family val="2"/>
        <scheme val="minor"/>
      </rPr>
      <t>2</t>
    </r>
  </si>
  <si>
    <t>mmHg</t>
  </si>
  <si>
    <t>&lt;</t>
  </si>
  <si>
    <t>blaue Felder ausfüllen</t>
  </si>
  <si>
    <r>
      <t>pO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</si>
  <si>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braune Felder </t>
    </r>
    <r>
      <rPr>
        <b/>
        <sz val="11"/>
        <color theme="1"/>
        <rFont val="Calibri"/>
        <family val="2"/>
        <scheme val="minor"/>
      </rPr>
      <t>NICHT</t>
    </r>
  </si>
  <si>
    <t>ausfüllen !</t>
  </si>
  <si>
    <t>Oxygenierungsindex</t>
  </si>
  <si>
    <t>Beurteilung</t>
  </si>
  <si>
    <t>Acute Respiratory Distress Syndrome (ARDS)</t>
  </si>
  <si>
    <t>mild</t>
  </si>
  <si>
    <t>Horovitz-Quotient 201 – 300 mmHg mit PEEP oder CPAP ≥ 5 cm H2O</t>
  </si>
  <si>
    <t xml:space="preserve">moderat </t>
  </si>
  <si>
    <t>Horovitz-Quotient 101 – 200 mmHg mit PEEP ≥ 5 cm H2O</t>
  </si>
  <si>
    <t>schwer</t>
  </si>
  <si>
    <t>Horovitz-Quotient ≤ 100 mmHg mit PEEP ≥ 5 cm H2O</t>
  </si>
  <si>
    <t>SOFA-Score</t>
  </si>
  <si>
    <t>Augenöffnung</t>
  </si>
  <si>
    <t>Verbale Reaktion</t>
  </si>
  <si>
    <t>Motorische Reaktion</t>
  </si>
  <si>
    <t>von 1</t>
  </si>
  <si>
    <t>LUNGENFUNKTION</t>
  </si>
  <si>
    <t>ZNS-FUNKTION</t>
  </si>
  <si>
    <t>KARDIOVASKULÄR</t>
  </si>
  <si>
    <t>LEBERFUNKTION</t>
  </si>
  <si>
    <t>Bilirubin</t>
  </si>
  <si>
    <t>GERINNUNG</t>
  </si>
  <si>
    <t>Thrombozyten</t>
  </si>
  <si>
    <t>NIERENFUNKTION</t>
  </si>
  <si>
    <t>Kreatinin</t>
  </si>
  <si>
    <t>NIV</t>
  </si>
  <si>
    <t>D-Dimere, altersdaptiert</t>
  </si>
  <si>
    <t xml:space="preserve">altersadaptiert :  </t>
  </si>
  <si>
    <t>Alter (J.)</t>
  </si>
  <si>
    <t>Intensiv-Scores</t>
  </si>
  <si>
    <t>Richmond-Agitation-Sedation-Scale (RASS)</t>
  </si>
  <si>
    <t>Aggressiv</t>
  </si>
  <si>
    <t>stark aggitiert</t>
  </si>
  <si>
    <t>agitiert</t>
  </si>
  <si>
    <t>unruhig</t>
  </si>
  <si>
    <t>wach und ruhig</t>
  </si>
  <si>
    <t>schläfrig</t>
  </si>
  <si>
    <t>leicht sediert</t>
  </si>
  <si>
    <t>mäßig sediert</t>
  </si>
  <si>
    <t>tief sediert</t>
  </si>
  <si>
    <t>nicht erweckbar</t>
  </si>
  <si>
    <t>Anionenlücke</t>
  </si>
  <si>
    <t>Natrium</t>
  </si>
  <si>
    <t>Kalium</t>
  </si>
  <si>
    <t>Chlorid</t>
  </si>
  <si>
    <t>mmol/l</t>
  </si>
  <si>
    <t xml:space="preserve">Referenzbereich </t>
  </si>
  <si>
    <t>Interpretation</t>
  </si>
  <si>
    <t>Mögliche Ursachen</t>
  </si>
  <si>
    <t>&lt; 9</t>
  </si>
  <si>
    <t>&gt; 11</t>
  </si>
  <si>
    <t>Mortalitätswahrscheinlichkeit weniger als 33 %</t>
  </si>
  <si>
    <t>Mortalitätswahrschienlichkeit größer als 95 %</t>
  </si>
  <si>
    <t>Mortalitätswahrschienlichkeit zwischen 33 und 95 %</t>
  </si>
  <si>
    <t>25 mg auf 50 ml</t>
  </si>
  <si>
    <t>50 mg auf 50 ml (pur)</t>
  </si>
  <si>
    <t>500 µg/ml</t>
  </si>
  <si>
    <t>Ziel: MAP 60-70 mmHg</t>
  </si>
  <si>
    <t>Propofol 2%</t>
  </si>
  <si>
    <t>20 mg/ml</t>
  </si>
  <si>
    <t>50 ml (pur)</t>
  </si>
  <si>
    <t>1 mmol/ml</t>
  </si>
  <si>
    <t>1 - 3 ml/h</t>
  </si>
  <si>
    <t>Terlipressin</t>
  </si>
  <si>
    <t>2 mg auf 50 ml</t>
  </si>
  <si>
    <t>40 µg/ml</t>
  </si>
  <si>
    <t>2 - 4 ml/h</t>
  </si>
  <si>
    <t>Dexmedetomidin</t>
  </si>
  <si>
    <t>Dexor</t>
  </si>
  <si>
    <t>400 µg auf 50 ml</t>
  </si>
  <si>
    <t>8 µg/ml</t>
  </si>
  <si>
    <t>Child-Pugh-Score</t>
  </si>
  <si>
    <t>Bilirubin, gesamt [S]</t>
  </si>
  <si>
    <t>Albumin [S]</t>
  </si>
  <si>
    <t>INR</t>
  </si>
  <si>
    <t>Ascites</t>
  </si>
  <si>
    <t>Encephalopathie</t>
  </si>
  <si>
    <t>Alveolo-arterielle Sauerstoffpartialdruckdifferenz</t>
  </si>
  <si>
    <t>endotracheale Intubation</t>
  </si>
  <si>
    <t>Beatmung</t>
  </si>
  <si>
    <t>Alter</t>
  </si>
  <si>
    <t>Normwert</t>
  </si>
  <si>
    <t>2,8-3,5 g/dl</t>
  </si>
  <si>
    <t>&gt; 3 mg/dl</t>
  </si>
  <si>
    <t>&gt; 2,20</t>
  </si>
  <si>
    <t>kein</t>
  </si>
  <si>
    <t>Grad III-IV</t>
  </si>
  <si>
    <t>Somatostatin</t>
  </si>
  <si>
    <t>3 mg auf 50 ml</t>
  </si>
  <si>
    <t>4 ml/h</t>
  </si>
  <si>
    <t>Insulin asp NovoRapid</t>
  </si>
  <si>
    <t>Ziel: BZ 100-200 mg/dl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</si>
</sst>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C0000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theme="2" tint="-0.499984740745262"/>
      </top>
      <bottom style="thick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2" tint="-0.499984740745262"/>
      </top>
      <bottom style="thick">
        <color theme="2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9" fontId="20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/>
    <xf numFmtId="0" fontId="3" fillId="0" borderId="1" xfId="0" applyFont="1" applyFill="1" applyBorder="1"/>
    <xf numFmtId="0" fontId="3" fillId="2" borderId="2" xfId="0" applyFont="1" applyFill="1" applyBorder="1"/>
    <xf numFmtId="0" fontId="3" fillId="0" borderId="1" xfId="0" applyFont="1" applyFill="1" applyBorder="1" applyAlignment="1">
      <alignment horizontal="right"/>
    </xf>
    <xf numFmtId="0" fontId="4" fillId="0" borderId="0" xfId="0" applyFont="1"/>
    <xf numFmtId="0" fontId="1" fillId="0" borderId="0" xfId="0" applyFont="1" applyFill="1"/>
    <xf numFmtId="0" fontId="6" fillId="0" borderId="0" xfId="0" applyFont="1"/>
    <xf numFmtId="0" fontId="0" fillId="0" borderId="0" xfId="0" applyFo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0" fillId="0" borderId="3" xfId="0" applyBorder="1"/>
    <xf numFmtId="0" fontId="0" fillId="0" borderId="8" xfId="0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7" xfId="0" applyFill="1" applyBorder="1" applyAlignment="1">
      <alignment horizontal="center"/>
    </xf>
    <xf numFmtId="0" fontId="6" fillId="0" borderId="3" xfId="0" applyFont="1" applyBorder="1"/>
    <xf numFmtId="0" fontId="6" fillId="2" borderId="7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3" borderId="0" xfId="0" applyFill="1" applyBorder="1"/>
    <xf numFmtId="0" fontId="4" fillId="0" borderId="0" xfId="0" applyFont="1" applyBorder="1"/>
    <xf numFmtId="0" fontId="6" fillId="0" borderId="8" xfId="0" applyFont="1" applyBorder="1"/>
    <xf numFmtId="0" fontId="6" fillId="2" borderId="10" xfId="0" applyFont="1" applyFill="1" applyBorder="1" applyAlignment="1">
      <alignment horizontal="center"/>
    </xf>
    <xf numFmtId="0" fontId="0" fillId="0" borderId="7" xfId="0" applyFill="1" applyBorder="1"/>
    <xf numFmtId="0" fontId="0" fillId="2" borderId="3" xfId="0" applyFill="1" applyBorder="1"/>
    <xf numFmtId="0" fontId="0" fillId="2" borderId="0" xfId="0" applyFill="1" applyBorder="1"/>
    <xf numFmtId="0" fontId="6" fillId="2" borderId="7" xfId="0" applyFont="1" applyFill="1" applyBorder="1" applyAlignment="1">
      <alignment horizontal="right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Fill="1" applyBorder="1"/>
    <xf numFmtId="0" fontId="0" fillId="4" borderId="0" xfId="0" applyFill="1"/>
    <xf numFmtId="0" fontId="0" fillId="5" borderId="0" xfId="0" applyFill="1"/>
    <xf numFmtId="0" fontId="7" fillId="0" borderId="9" xfId="0" applyFont="1" applyBorder="1"/>
    <xf numFmtId="0" fontId="0" fillId="9" borderId="0" xfId="0" applyFill="1"/>
    <xf numFmtId="0" fontId="0" fillId="0" borderId="5" xfId="0" applyFill="1" applyBorder="1"/>
    <xf numFmtId="0" fontId="0" fillId="0" borderId="3" xfId="0" applyFill="1" applyBorder="1"/>
    <xf numFmtId="0" fontId="0" fillId="0" borderId="0" xfId="0" applyFill="1"/>
    <xf numFmtId="0" fontId="7" fillId="0" borderId="19" xfId="0" applyFont="1" applyBorder="1"/>
    <xf numFmtId="0" fontId="0" fillId="0" borderId="20" xfId="0" applyBorder="1"/>
    <xf numFmtId="0" fontId="0" fillId="0" borderId="21" xfId="0" applyBorder="1"/>
    <xf numFmtId="0" fontId="0" fillId="3" borderId="3" xfId="0" applyFont="1" applyFill="1" applyBorder="1"/>
    <xf numFmtId="0" fontId="0" fillId="3" borderId="0" xfId="0" applyFont="1" applyFill="1" applyBorder="1"/>
    <xf numFmtId="2" fontId="6" fillId="9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3" xfId="0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0" fillId="10" borderId="0" xfId="0" applyFill="1" applyBorder="1"/>
    <xf numFmtId="2" fontId="6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7" fillId="0" borderId="3" xfId="0" applyFont="1" applyBorder="1"/>
    <xf numFmtId="0" fontId="6" fillId="0" borderId="0" xfId="0" applyFont="1" applyFill="1" applyBorder="1"/>
    <xf numFmtId="0" fontId="15" fillId="6" borderId="3" xfId="1" applyFont="1" applyBorder="1"/>
    <xf numFmtId="0" fontId="11" fillId="6" borderId="0" xfId="1" applyBorder="1"/>
    <xf numFmtId="0" fontId="11" fillId="6" borderId="7" xfId="1" applyBorder="1"/>
    <xf numFmtId="0" fontId="16" fillId="8" borderId="3" xfId="3" applyFont="1" applyBorder="1"/>
    <xf numFmtId="0" fontId="13" fillId="8" borderId="0" xfId="3" applyBorder="1"/>
    <xf numFmtId="0" fontId="13" fillId="8" borderId="7" xfId="3" applyBorder="1"/>
    <xf numFmtId="0" fontId="17" fillId="7" borderId="8" xfId="2" applyFont="1" applyBorder="1"/>
    <xf numFmtId="0" fontId="12" fillId="7" borderId="9" xfId="2" applyBorder="1"/>
    <xf numFmtId="0" fontId="12" fillId="7" borderId="10" xfId="2" applyBorder="1"/>
    <xf numFmtId="0" fontId="18" fillId="11" borderId="0" xfId="0" applyFont="1" applyFill="1"/>
    <xf numFmtId="0" fontId="18" fillId="11" borderId="0" xfId="0" applyFont="1" applyFill="1" applyAlignment="1">
      <alignment horizontal="center"/>
    </xf>
    <xf numFmtId="0" fontId="19" fillId="9" borderId="0" xfId="0" applyFont="1" applyFill="1" applyAlignment="1">
      <alignment horizontal="center"/>
    </xf>
    <xf numFmtId="0" fontId="0" fillId="0" borderId="9" xfId="0" applyBorder="1" applyAlignment="1">
      <alignment horizontal="right"/>
    </xf>
    <xf numFmtId="0" fontId="18" fillId="9" borderId="0" xfId="0" applyFont="1" applyFill="1" applyBorder="1" applyAlignment="1">
      <alignment horizontal="center"/>
    </xf>
    <xf numFmtId="0" fontId="6" fillId="0" borderId="7" xfId="0" applyFont="1" applyBorder="1"/>
    <xf numFmtId="0" fontId="6" fillId="12" borderId="0" xfId="0" applyFont="1" applyFill="1" applyAlignment="1">
      <alignment horizontal="center"/>
    </xf>
    <xf numFmtId="0" fontId="18" fillId="9" borderId="0" xfId="0" applyFont="1" applyFill="1" applyAlignment="1">
      <alignment horizontal="center"/>
    </xf>
    <xf numFmtId="16" fontId="6" fillId="0" borderId="0" xfId="0" applyNumberFormat="1" applyFont="1" applyAlignment="1">
      <alignment horizontal="center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6" fillId="13" borderId="0" xfId="0" applyFont="1" applyFill="1"/>
    <xf numFmtId="16" fontId="6" fillId="14" borderId="0" xfId="0" applyNumberFormat="1" applyFont="1" applyFill="1"/>
    <xf numFmtId="0" fontId="6" fillId="15" borderId="0" xfId="0" applyFont="1" applyFill="1"/>
    <xf numFmtId="0" fontId="0" fillId="0" borderId="0" xfId="0" applyNumberFormat="1"/>
    <xf numFmtId="0" fontId="19" fillId="9" borderId="0" xfId="0" applyFont="1" applyFill="1" applyAlignment="1">
      <alignment horizontal="center"/>
    </xf>
    <xf numFmtId="0" fontId="7" fillId="0" borderId="0" xfId="0" applyFont="1" applyFill="1" applyBorder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18" fillId="9" borderId="0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19" fillId="9" borderId="0" xfId="0" applyFont="1" applyFill="1" applyBorder="1" applyAlignment="1">
      <alignment horizontal="center"/>
    </xf>
    <xf numFmtId="9" fontId="21" fillId="0" borderId="7" xfId="4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left" vertical="center"/>
    </xf>
    <xf numFmtId="0" fontId="6" fillId="9" borderId="0" xfId="0" applyFont="1" applyFill="1" applyBorder="1" applyAlignment="1">
      <alignment horizontal="left" vertical="center"/>
    </xf>
    <xf numFmtId="0" fontId="19" fillId="9" borderId="0" xfId="0" applyFont="1" applyFill="1" applyBorder="1" applyAlignment="1">
      <alignment horizontal="center"/>
    </xf>
    <xf numFmtId="0" fontId="19" fillId="9" borderId="0" xfId="0" applyFont="1" applyFill="1" applyAlignment="1">
      <alignment horizontal="center"/>
    </xf>
    <xf numFmtId="0" fontId="0" fillId="12" borderId="0" xfId="0" applyFill="1" applyAlignment="1">
      <alignment horizontal="center"/>
    </xf>
  </cellXfs>
  <cellStyles count="5">
    <cellStyle name="Gut" xfId="1" builtinId="26"/>
    <cellStyle name="Neutral" xfId="3" builtinId="28"/>
    <cellStyle name="Prozent" xfId="4" builtinId="5"/>
    <cellStyle name="Schlecht" xfId="2" builtinId="27"/>
    <cellStyle name="Standard" xfId="0" builtinId="0"/>
  </cellStyles>
  <dxfs count="10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5" tint="-0.499984740745262"/>
        </patternFill>
      </fill>
    </dxf>
    <dxf>
      <fill>
        <patternFill>
          <bgColor rgb="FFFF33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workbookViewId="0">
      <pane ySplit="1" topLeftCell="A61" activePane="bottomLeft" state="frozen"/>
      <selection pane="bottomLeft" activeCell="C81" sqref="C81"/>
    </sheetView>
  </sheetViews>
  <sheetFormatPr baseColWidth="10" defaultRowHeight="15" x14ac:dyDescent="0.25"/>
  <cols>
    <col min="1" max="1" width="32.7109375" style="2" customWidth="1"/>
    <col min="2" max="2" width="25.5703125" style="2" customWidth="1"/>
    <col min="3" max="3" width="44.7109375" style="2" customWidth="1"/>
    <col min="4" max="4" width="45.28515625" style="2" customWidth="1"/>
    <col min="5" max="5" width="15" style="2" customWidth="1"/>
    <col min="6" max="6" width="52.85546875" style="2" customWidth="1"/>
    <col min="7" max="7" width="30" style="7" customWidth="1"/>
    <col min="8" max="8" width="11.42578125" style="2"/>
    <col min="9" max="9" width="6.85546875" style="2" customWidth="1"/>
    <col min="10" max="10" width="11.42578125" style="2"/>
  </cols>
  <sheetData>
    <row r="1" spans="1:10" ht="17.25" thickTop="1" thickBot="1" x14ac:dyDescent="0.3">
      <c r="A1" s="3" t="s">
        <v>2</v>
      </c>
      <c r="B1" s="3" t="s">
        <v>1</v>
      </c>
      <c r="C1" s="3" t="s">
        <v>0</v>
      </c>
      <c r="D1" s="3" t="s">
        <v>3</v>
      </c>
      <c r="E1" s="3" t="s">
        <v>34</v>
      </c>
      <c r="F1" s="4" t="s">
        <v>36</v>
      </c>
      <c r="G1" s="4" t="s">
        <v>35</v>
      </c>
      <c r="H1" s="6" t="s">
        <v>43</v>
      </c>
      <c r="I1" s="5"/>
      <c r="J1" s="1"/>
    </row>
    <row r="2" spans="1:10" ht="15.75" thickTop="1" x14ac:dyDescent="0.25">
      <c r="A2" s="2" t="s">
        <v>13</v>
      </c>
      <c r="B2" s="2" t="s">
        <v>104</v>
      </c>
      <c r="C2" s="2" t="s">
        <v>38</v>
      </c>
      <c r="D2" s="2" t="s">
        <v>11</v>
      </c>
      <c r="F2" s="2" t="s">
        <v>14</v>
      </c>
    </row>
    <row r="3" spans="1:10" x14ac:dyDescent="0.25">
      <c r="A3" s="2" t="s">
        <v>394</v>
      </c>
      <c r="C3" s="2" t="s">
        <v>40</v>
      </c>
      <c r="D3" s="2" t="s">
        <v>15</v>
      </c>
      <c r="F3" s="2" t="s">
        <v>16</v>
      </c>
    </row>
    <row r="4" spans="1:10" x14ac:dyDescent="0.25">
      <c r="A4" s="2" t="s">
        <v>175</v>
      </c>
      <c r="B4" s="2" t="s">
        <v>176</v>
      </c>
      <c r="C4" s="2" t="s">
        <v>177</v>
      </c>
      <c r="D4" s="2" t="s">
        <v>178</v>
      </c>
      <c r="F4" s="2" t="s">
        <v>179</v>
      </c>
    </row>
    <row r="5" spans="1:10" x14ac:dyDescent="0.25">
      <c r="A5" s="2" t="s">
        <v>395</v>
      </c>
      <c r="C5" s="2" t="s">
        <v>153</v>
      </c>
      <c r="D5" s="2" t="s">
        <v>155</v>
      </c>
    </row>
    <row r="6" spans="1:10" ht="15" customHeight="1" x14ac:dyDescent="0.25">
      <c r="A6" s="2" t="s">
        <v>396</v>
      </c>
      <c r="C6" s="2" t="s">
        <v>152</v>
      </c>
      <c r="D6" s="2" t="s">
        <v>154</v>
      </c>
    </row>
    <row r="7" spans="1:10" ht="15" customHeight="1" x14ac:dyDescent="0.25">
      <c r="A7" s="2" t="s">
        <v>397</v>
      </c>
      <c r="B7" s="2" t="s">
        <v>168</v>
      </c>
      <c r="C7" s="2" t="s">
        <v>485</v>
      </c>
      <c r="D7" s="2" t="s">
        <v>169</v>
      </c>
      <c r="E7" s="2" t="s">
        <v>170</v>
      </c>
    </row>
    <row r="8" spans="1:10" ht="15" customHeight="1" x14ac:dyDescent="0.25">
      <c r="A8" s="2" t="s">
        <v>398</v>
      </c>
      <c r="C8" s="2" t="s">
        <v>171</v>
      </c>
      <c r="D8" s="2" t="s">
        <v>172</v>
      </c>
    </row>
    <row r="9" spans="1:10" x14ac:dyDescent="0.25">
      <c r="A9" s="2" t="s">
        <v>399</v>
      </c>
      <c r="B9" s="2" t="s">
        <v>159</v>
      </c>
      <c r="C9" s="2" t="s">
        <v>158</v>
      </c>
      <c r="D9" s="2" t="s">
        <v>160</v>
      </c>
      <c r="F9" s="2" t="str">
        <f>"PPSB "&amp;50*I1&amp;" I.E. i.v."</f>
        <v>PPSB 0 I.E. i.v.</v>
      </c>
    </row>
    <row r="10" spans="1:10" x14ac:dyDescent="0.25">
      <c r="A10" s="2" t="s">
        <v>400</v>
      </c>
      <c r="C10" s="2" t="s">
        <v>173</v>
      </c>
      <c r="D10" s="2" t="s">
        <v>174</v>
      </c>
    </row>
    <row r="11" spans="1:10" x14ac:dyDescent="0.25">
      <c r="A11" s="2" t="s">
        <v>401</v>
      </c>
      <c r="C11" s="2" t="s">
        <v>161</v>
      </c>
      <c r="F11" s="2" t="str">
        <f>"PPSB "&amp;50*I1&amp;" I.E. i.v."</f>
        <v>PPSB 0 I.E. i.v.</v>
      </c>
    </row>
    <row r="12" spans="1:10" x14ac:dyDescent="0.25">
      <c r="A12" s="2" t="s">
        <v>107</v>
      </c>
      <c r="C12" s="2" t="s">
        <v>111</v>
      </c>
      <c r="D12" s="2" t="s">
        <v>115</v>
      </c>
    </row>
    <row r="13" spans="1:10" x14ac:dyDescent="0.25">
      <c r="A13" s="2" t="s">
        <v>539</v>
      </c>
      <c r="C13" s="2" t="s">
        <v>540</v>
      </c>
      <c r="D13" s="2" t="s">
        <v>541</v>
      </c>
    </row>
    <row r="14" spans="1:10" x14ac:dyDescent="0.25">
      <c r="A14" s="2" t="s">
        <v>402</v>
      </c>
      <c r="B14" s="2" t="s">
        <v>125</v>
      </c>
      <c r="C14" s="2" t="s">
        <v>124</v>
      </c>
      <c r="D14" s="2" t="str">
        <f>"wenn GFR &gt;30 ml/min: Fondaparinux "&amp;IF(I1&lt;50,"5mg s.c. 1-0-0",IF(I1&gt;100,"10mg s.c. 1-0-0","7,5mg s.c. 1-0-0"))</f>
        <v>wenn GFR &gt;30 ml/min: Fondaparinux 5mg s.c. 1-0-0</v>
      </c>
      <c r="F14" s="2" t="str">
        <f>"Dalteparin "&amp;I1*100&amp;" I.E. 1-0-1"</f>
        <v>Dalteparin 0 I.E. 1-0-1</v>
      </c>
    </row>
    <row r="15" spans="1:10" x14ac:dyDescent="0.25">
      <c r="A15" s="2" t="s">
        <v>135</v>
      </c>
      <c r="C15" s="2" t="s">
        <v>136</v>
      </c>
      <c r="D15" s="2" t="s">
        <v>137</v>
      </c>
      <c r="G15" s="7" t="s">
        <v>138</v>
      </c>
    </row>
    <row r="16" spans="1:10" x14ac:dyDescent="0.25">
      <c r="A16" s="2" t="s">
        <v>403</v>
      </c>
      <c r="C16" s="2" t="s">
        <v>126</v>
      </c>
      <c r="D16" s="2" t="s">
        <v>127</v>
      </c>
    </row>
    <row r="17" spans="1:6" x14ac:dyDescent="0.25">
      <c r="A17" s="2" t="s">
        <v>404</v>
      </c>
      <c r="B17" s="2" t="s">
        <v>208</v>
      </c>
      <c r="C17" s="2" t="s">
        <v>110</v>
      </c>
      <c r="D17" s="2" t="s">
        <v>133</v>
      </c>
      <c r="F17" s="2" t="str">
        <f>"Ajmalin "&amp;I1*1&amp;" mg langsam i.v."</f>
        <v>Ajmalin 0 mg langsam i.v.</v>
      </c>
    </row>
    <row r="18" spans="1:6" x14ac:dyDescent="0.25">
      <c r="A18" s="2" t="s">
        <v>42</v>
      </c>
      <c r="C18" s="2" t="s">
        <v>40</v>
      </c>
      <c r="D18" s="2" t="s">
        <v>29</v>
      </c>
      <c r="F18" s="2" t="s">
        <v>50</v>
      </c>
    </row>
    <row r="19" spans="1:6" x14ac:dyDescent="0.25">
      <c r="A19" s="2" t="s">
        <v>97</v>
      </c>
      <c r="C19" s="2" t="s">
        <v>98</v>
      </c>
      <c r="D19" s="2" t="s">
        <v>99</v>
      </c>
    </row>
    <row r="20" spans="1:6" x14ac:dyDescent="0.25">
      <c r="A20" s="8" t="s">
        <v>105</v>
      </c>
      <c r="B20" s="8" t="s">
        <v>5</v>
      </c>
      <c r="C20" s="8" t="s">
        <v>7</v>
      </c>
      <c r="D20" s="2" t="s">
        <v>206</v>
      </c>
    </row>
    <row r="21" spans="1:6" x14ac:dyDescent="0.25">
      <c r="A21" s="2" t="s">
        <v>164</v>
      </c>
      <c r="B21" s="2" t="s">
        <v>165</v>
      </c>
      <c r="C21" s="2" t="s">
        <v>166</v>
      </c>
      <c r="D21" s="2" t="s">
        <v>167</v>
      </c>
    </row>
    <row r="22" spans="1:6" x14ac:dyDescent="0.25">
      <c r="A22" s="2" t="s">
        <v>30</v>
      </c>
      <c r="B22" s="2" t="s">
        <v>104</v>
      </c>
      <c r="C22" s="2" t="s">
        <v>38</v>
      </c>
      <c r="D22" s="2" t="s">
        <v>31</v>
      </c>
      <c r="F22" s="2" t="s">
        <v>49</v>
      </c>
    </row>
    <row r="23" spans="1:6" x14ac:dyDescent="0.25">
      <c r="A23" s="2" t="s">
        <v>405</v>
      </c>
      <c r="C23" s="2" t="s">
        <v>88</v>
      </c>
      <c r="D23" s="2" t="str">
        <f>I1*10&amp;" mg i.v. 1-0-0 + "&amp;I1*3&amp;" mg i.v. 0-1-0 + 450mg i.v. 1-0-1"</f>
        <v>0 mg i.v. 1-0-0 + 0 mg i.v. 0-1-0 + 450mg i.v. 1-0-1</v>
      </c>
    </row>
    <row r="24" spans="1:6" x14ac:dyDescent="0.25">
      <c r="A24" s="2" t="s">
        <v>406</v>
      </c>
      <c r="C24" s="2" t="s">
        <v>87</v>
      </c>
      <c r="D24" s="2" t="str">
        <f>"5g i.v. 1-1-1 + 2g i.v. 1-1-1-1-1-1 + "&amp;I1*3&amp;"mg 1-0-0 (6 Wo)"</f>
        <v>5g i.v. 1-1-1 + 2g i.v. 1-1-1-1-1-1 + 0mg 1-0-0 (6 Wo)</v>
      </c>
      <c r="F24" s="2" t="str">
        <f>"Daptomycin "&amp;I1*10&amp;" mg i.v. 1-0-0 + Gentamycin "&amp;I1*3&amp;" mg i.v. 0-1-0 (6 Wo)"</f>
        <v>Daptomycin 0 mg i.v. 1-0-0 + Gentamycin 0 mg i.v. 0-1-0 (6 Wo)</v>
      </c>
    </row>
    <row r="25" spans="1:6" x14ac:dyDescent="0.25">
      <c r="A25" s="2" t="s">
        <v>57</v>
      </c>
      <c r="C25" s="2" t="s">
        <v>58</v>
      </c>
      <c r="D25" s="2" t="s">
        <v>59</v>
      </c>
      <c r="F25" s="2" t="s">
        <v>60</v>
      </c>
    </row>
    <row r="26" spans="1:6" x14ac:dyDescent="0.25">
      <c r="A26" s="2" t="s">
        <v>407</v>
      </c>
      <c r="C26" s="2" t="s">
        <v>66</v>
      </c>
      <c r="D26" s="2" t="s">
        <v>67</v>
      </c>
    </row>
    <row r="27" spans="1:6" x14ac:dyDescent="0.25">
      <c r="A27" s="2" t="s">
        <v>408</v>
      </c>
      <c r="C27" s="2" t="s">
        <v>156</v>
      </c>
      <c r="D27" s="2" t="s">
        <v>157</v>
      </c>
    </row>
    <row r="28" spans="1:6" x14ac:dyDescent="0.25">
      <c r="A28" s="2" t="s">
        <v>409</v>
      </c>
      <c r="C28" s="2" t="s">
        <v>40</v>
      </c>
      <c r="D28" s="2" t="s">
        <v>55</v>
      </c>
      <c r="F28" s="2" t="s">
        <v>56</v>
      </c>
    </row>
    <row r="29" spans="1:6" x14ac:dyDescent="0.25">
      <c r="A29" s="2" t="s">
        <v>410</v>
      </c>
      <c r="C29" s="2" t="s">
        <v>40</v>
      </c>
      <c r="D29" s="2" t="s">
        <v>55</v>
      </c>
      <c r="F29" s="2" t="s">
        <v>56</v>
      </c>
    </row>
    <row r="30" spans="1:6" x14ac:dyDescent="0.25">
      <c r="A30" s="2" t="s">
        <v>411</v>
      </c>
      <c r="C30" s="2" t="s">
        <v>40</v>
      </c>
      <c r="D30" s="2" t="s">
        <v>55</v>
      </c>
      <c r="F30" s="2" t="s">
        <v>56</v>
      </c>
    </row>
    <row r="31" spans="1:6" x14ac:dyDescent="0.25">
      <c r="A31" s="2" t="s">
        <v>412</v>
      </c>
      <c r="B31" s="2" t="s">
        <v>209</v>
      </c>
      <c r="C31" s="2" t="s">
        <v>52</v>
      </c>
      <c r="D31" s="2" t="s">
        <v>53</v>
      </c>
      <c r="F31" s="2" t="s">
        <v>54</v>
      </c>
    </row>
    <row r="32" spans="1:6" x14ac:dyDescent="0.25">
      <c r="A32" s="2" t="s">
        <v>413</v>
      </c>
      <c r="C32" s="2" t="s">
        <v>94</v>
      </c>
      <c r="D32" s="2" t="s">
        <v>96</v>
      </c>
      <c r="F32" s="2" t="s">
        <v>95</v>
      </c>
    </row>
    <row r="33" spans="1:7" x14ac:dyDescent="0.25">
      <c r="A33" s="2" t="s">
        <v>414</v>
      </c>
      <c r="B33" s="2" t="s">
        <v>210</v>
      </c>
      <c r="C33" s="2" t="s">
        <v>192</v>
      </c>
      <c r="D33" s="2" t="s">
        <v>193</v>
      </c>
      <c r="F33" s="2" t="s">
        <v>194</v>
      </c>
    </row>
    <row r="34" spans="1:7" x14ac:dyDescent="0.25">
      <c r="A34" s="2" t="s">
        <v>121</v>
      </c>
      <c r="B34" s="2" t="s">
        <v>122</v>
      </c>
      <c r="C34" s="2" t="s">
        <v>211</v>
      </c>
      <c r="D34" s="2" t="str">
        <f>"150-300mg p.o. + 180mg p.o. + "&amp;I1*70&amp;" I.E. (ggf. 3-5mg i.v.)"</f>
        <v>150-300mg p.o. + 180mg p.o. + 0 I.E. (ggf. 3-5mg i.v.)</v>
      </c>
      <c r="F34" s="2" t="str">
        <f>"bei HIT: Bivalrudin "&amp;I1*0.75&amp;" mg i.v. Bolus"</f>
        <v>bei HIT: Bivalrudin 0 mg i.v. Bolus</v>
      </c>
    </row>
    <row r="35" spans="1:7" x14ac:dyDescent="0.25">
      <c r="A35" s="2" t="s">
        <v>100</v>
      </c>
      <c r="B35" s="2" t="s">
        <v>102</v>
      </c>
      <c r="C35" s="2" t="s">
        <v>101</v>
      </c>
      <c r="D35" s="2" t="s">
        <v>103</v>
      </c>
    </row>
    <row r="36" spans="1:7" x14ac:dyDescent="0.25">
      <c r="A36" s="2" t="s">
        <v>415</v>
      </c>
      <c r="C36" s="2" t="s">
        <v>182</v>
      </c>
      <c r="D36" s="2" t="s">
        <v>183</v>
      </c>
    </row>
    <row r="37" spans="1:7" x14ac:dyDescent="0.25">
      <c r="A37" s="2" t="s">
        <v>416</v>
      </c>
      <c r="C37" s="2" t="s">
        <v>180</v>
      </c>
      <c r="D37" s="2" t="s">
        <v>181</v>
      </c>
    </row>
    <row r="38" spans="1:7" x14ac:dyDescent="0.25">
      <c r="A38" s="2" t="s">
        <v>417</v>
      </c>
      <c r="C38" s="2" t="s">
        <v>184</v>
      </c>
      <c r="D38" s="2" t="s">
        <v>207</v>
      </c>
    </row>
    <row r="39" spans="1:7" x14ac:dyDescent="0.25">
      <c r="A39" s="2" t="s">
        <v>538</v>
      </c>
      <c r="C39" s="2" t="s">
        <v>212</v>
      </c>
      <c r="D39" s="2" t="s">
        <v>149</v>
      </c>
      <c r="G39" s="7" t="s">
        <v>148</v>
      </c>
    </row>
    <row r="40" spans="1:7" x14ac:dyDescent="0.25">
      <c r="A40" s="2" t="s">
        <v>418</v>
      </c>
      <c r="B40" s="2" t="s">
        <v>213</v>
      </c>
      <c r="C40" s="2" t="s">
        <v>143</v>
      </c>
      <c r="D40" s="2" t="s">
        <v>144</v>
      </c>
      <c r="G40" s="7" t="s">
        <v>147</v>
      </c>
    </row>
    <row r="41" spans="1:7" x14ac:dyDescent="0.25">
      <c r="A41" s="2" t="s">
        <v>419</v>
      </c>
      <c r="B41" s="2" t="s">
        <v>214</v>
      </c>
      <c r="C41" s="2" t="s">
        <v>141</v>
      </c>
      <c r="D41" s="2" t="s">
        <v>142</v>
      </c>
      <c r="G41" s="7" t="s">
        <v>147</v>
      </c>
    </row>
    <row r="42" spans="1:7" x14ac:dyDescent="0.25">
      <c r="A42" s="2" t="s">
        <v>420</v>
      </c>
      <c r="B42" s="2" t="s">
        <v>215</v>
      </c>
      <c r="C42" s="2" t="s">
        <v>139</v>
      </c>
      <c r="D42" s="2" t="s">
        <v>140</v>
      </c>
      <c r="G42" s="7" t="s">
        <v>147</v>
      </c>
    </row>
    <row r="43" spans="1:7" x14ac:dyDescent="0.25">
      <c r="A43" s="2" t="s">
        <v>421</v>
      </c>
      <c r="B43" s="2" t="s">
        <v>216</v>
      </c>
      <c r="C43" s="2" t="s">
        <v>145</v>
      </c>
      <c r="D43" s="2" t="s">
        <v>146</v>
      </c>
      <c r="G43" s="7" t="s">
        <v>147</v>
      </c>
    </row>
    <row r="44" spans="1:7" x14ac:dyDescent="0.25">
      <c r="A44" s="2" t="s">
        <v>422</v>
      </c>
      <c r="C44" s="2" t="s">
        <v>185</v>
      </c>
      <c r="D44" s="2" t="s">
        <v>186</v>
      </c>
    </row>
    <row r="45" spans="1:7" x14ac:dyDescent="0.25">
      <c r="A45" s="2" t="s">
        <v>195</v>
      </c>
      <c r="B45" s="2" t="s">
        <v>196</v>
      </c>
      <c r="C45" s="2" t="s">
        <v>198</v>
      </c>
      <c r="D45" s="2" t="s">
        <v>197</v>
      </c>
    </row>
    <row r="46" spans="1:7" x14ac:dyDescent="0.25">
      <c r="A46" s="2" t="s">
        <v>106</v>
      </c>
      <c r="C46" s="2" t="s">
        <v>111</v>
      </c>
      <c r="D46" s="2" t="s">
        <v>112</v>
      </c>
    </row>
    <row r="47" spans="1:7" x14ac:dyDescent="0.25">
      <c r="A47" s="2" t="s">
        <v>106</v>
      </c>
      <c r="B47" s="2" t="s">
        <v>208</v>
      </c>
      <c r="C47" s="2" t="s">
        <v>114</v>
      </c>
      <c r="D47" s="2" t="s">
        <v>113</v>
      </c>
    </row>
    <row r="48" spans="1:7" x14ac:dyDescent="0.25">
      <c r="A48" s="8" t="s">
        <v>189</v>
      </c>
      <c r="B48" s="8"/>
      <c r="C48" s="8" t="s">
        <v>190</v>
      </c>
      <c r="D48" s="2" t="str">
        <f>"1000ml + (20mmol/h) + "&amp;I12*0.1&amp;" I.E. i.v. Bolus "</f>
        <v xml:space="preserve">1000ml + (20mmol/h) + 0 I.E. i.v. Bolus </v>
      </c>
    </row>
    <row r="49" spans="1:7" x14ac:dyDescent="0.25">
      <c r="A49" s="2" t="s">
        <v>24</v>
      </c>
      <c r="B49" s="2" t="s">
        <v>217</v>
      </c>
      <c r="C49" s="2" t="s">
        <v>23</v>
      </c>
      <c r="D49" s="2" t="s">
        <v>25</v>
      </c>
    </row>
    <row r="50" spans="1:7" x14ac:dyDescent="0.25">
      <c r="A50" s="2" t="s">
        <v>423</v>
      </c>
      <c r="C50" s="2" t="s">
        <v>123</v>
      </c>
      <c r="D50" s="2" t="str">
        <f>I1*70&amp;" I.E. i.v., dann 1000 I.E./h Perfusor"</f>
        <v>0 I.E. i.v., dann 1000 I.E./h Perfusor</v>
      </c>
      <c r="F50" s="2" t="str">
        <f>"wenn GFR &gt;30 ml/min: Fondaparinux "&amp;IF(I1&lt;50,"5mg s.c. 1-0-0",IF(I1&gt;100,"10mg s.c. 1-0-0","7,5mg s.c. 1-0-0"))</f>
        <v>wenn GFR &gt;30 ml/min: Fondaparinux 5mg s.c. 1-0-0</v>
      </c>
    </row>
    <row r="51" spans="1:7" x14ac:dyDescent="0.25">
      <c r="A51" s="2" t="s">
        <v>116</v>
      </c>
      <c r="B51" s="2" t="s">
        <v>218</v>
      </c>
      <c r="C51" s="2" t="s">
        <v>117</v>
      </c>
      <c r="D51" s="2" t="str">
        <f>I1*2.5&amp;" mg i.v. alle 5 Min"</f>
        <v>0 mg i.v. alle 5 Min</v>
      </c>
      <c r="E51" s="2" t="str">
        <f>"max "&amp;I1*30&amp;" mg"</f>
        <v>max 0 mg</v>
      </c>
    </row>
    <row r="52" spans="1:7" x14ac:dyDescent="0.25">
      <c r="A52" s="2" t="s">
        <v>89</v>
      </c>
      <c r="B52" s="2" t="s">
        <v>219</v>
      </c>
      <c r="C52" s="2" t="s">
        <v>90</v>
      </c>
      <c r="D52" s="2" t="s">
        <v>91</v>
      </c>
      <c r="F52" s="2" t="s">
        <v>93</v>
      </c>
      <c r="G52" s="7" t="s">
        <v>92</v>
      </c>
    </row>
    <row r="53" spans="1:7" x14ac:dyDescent="0.25">
      <c r="A53" s="8" t="s">
        <v>424</v>
      </c>
      <c r="B53" s="8" t="s">
        <v>5</v>
      </c>
      <c r="C53" s="8" t="s">
        <v>187</v>
      </c>
      <c r="D53" s="2" t="s">
        <v>188</v>
      </c>
    </row>
    <row r="54" spans="1:7" x14ac:dyDescent="0.25">
      <c r="A54" s="2" t="s">
        <v>425</v>
      </c>
      <c r="C54" s="2" t="s">
        <v>40</v>
      </c>
      <c r="D54" s="2" t="s">
        <v>21</v>
      </c>
      <c r="F54" s="2" t="s">
        <v>51</v>
      </c>
    </row>
    <row r="55" spans="1:7" x14ac:dyDescent="0.25">
      <c r="A55" s="2" t="s">
        <v>426</v>
      </c>
      <c r="B55" s="2" t="s">
        <v>221</v>
      </c>
      <c r="C55" s="2" t="s">
        <v>220</v>
      </c>
      <c r="D55" s="2" t="str">
        <f>I1*150&amp;" mg über 15-60min i.v., dann "&amp;I1*50&amp;" mg über 4h"</f>
        <v>0 mg über 15-60min i.v., dann 0 mg über 4h</v>
      </c>
      <c r="E55" s="2" t="s">
        <v>191</v>
      </c>
    </row>
    <row r="56" spans="1:7" x14ac:dyDescent="0.25">
      <c r="A56" s="2" t="s">
        <v>26</v>
      </c>
      <c r="B56" s="2" t="s">
        <v>104</v>
      </c>
      <c r="C56" s="2" t="s">
        <v>38</v>
      </c>
      <c r="D56" s="2" t="s">
        <v>27</v>
      </c>
      <c r="F56" s="2" t="s">
        <v>28</v>
      </c>
    </row>
    <row r="57" spans="1:7" x14ac:dyDescent="0.25">
      <c r="A57" s="2" t="s">
        <v>427</v>
      </c>
      <c r="C57" s="2" t="s">
        <v>61</v>
      </c>
      <c r="D57" s="2" t="s">
        <v>62</v>
      </c>
      <c r="F57" s="2" t="s">
        <v>63</v>
      </c>
    </row>
    <row r="58" spans="1:7" x14ac:dyDescent="0.25">
      <c r="A58" s="2" t="s">
        <v>428</v>
      </c>
      <c r="B58" s="2" t="s">
        <v>222</v>
      </c>
      <c r="C58" s="2" t="s">
        <v>64</v>
      </c>
      <c r="D58" s="2" t="s">
        <v>65</v>
      </c>
      <c r="F58" s="2" t="s">
        <v>60</v>
      </c>
    </row>
    <row r="59" spans="1:7" x14ac:dyDescent="0.25">
      <c r="A59" s="2" t="s">
        <v>76</v>
      </c>
      <c r="C59" s="2" t="s">
        <v>8</v>
      </c>
      <c r="D59" s="2" t="s">
        <v>44</v>
      </c>
      <c r="F59" s="2" t="s">
        <v>9</v>
      </c>
    </row>
    <row r="60" spans="1:7" x14ac:dyDescent="0.25">
      <c r="A60" s="2" t="s">
        <v>10</v>
      </c>
      <c r="B60" s="2" t="s">
        <v>104</v>
      </c>
      <c r="C60" s="2" t="s">
        <v>37</v>
      </c>
      <c r="D60" s="2" t="s">
        <v>45</v>
      </c>
    </row>
    <row r="61" spans="1:7" x14ac:dyDescent="0.25">
      <c r="A61" s="2" t="s">
        <v>12</v>
      </c>
      <c r="C61" s="2" t="s">
        <v>41</v>
      </c>
      <c r="D61" s="2" t="s">
        <v>33</v>
      </c>
    </row>
    <row r="62" spans="1:7" x14ac:dyDescent="0.25">
      <c r="A62" s="2" t="s">
        <v>17</v>
      </c>
      <c r="B62" s="2" t="s">
        <v>104</v>
      </c>
      <c r="C62" s="2" t="s">
        <v>38</v>
      </c>
      <c r="D62" s="2" t="s">
        <v>18</v>
      </c>
      <c r="F62" s="2" t="s">
        <v>19</v>
      </c>
    </row>
    <row r="63" spans="1:7" x14ac:dyDescent="0.25">
      <c r="A63" s="2" t="s">
        <v>20</v>
      </c>
      <c r="C63" s="2" t="s">
        <v>40</v>
      </c>
      <c r="D63" s="2" t="s">
        <v>21</v>
      </c>
      <c r="F63" s="2" t="s">
        <v>19</v>
      </c>
    </row>
    <row r="64" spans="1:7" x14ac:dyDescent="0.25">
      <c r="A64" s="2" t="s">
        <v>22</v>
      </c>
      <c r="B64" s="2" t="s">
        <v>223</v>
      </c>
      <c r="C64" s="2" t="s">
        <v>39</v>
      </c>
      <c r="D64" s="2" t="s">
        <v>32</v>
      </c>
    </row>
    <row r="65" spans="1:6" x14ac:dyDescent="0.25">
      <c r="A65" s="2" t="s">
        <v>429</v>
      </c>
      <c r="B65" s="2" t="s">
        <v>223</v>
      </c>
      <c r="C65" s="2" t="s">
        <v>39</v>
      </c>
      <c r="D65" s="2" t="s">
        <v>46</v>
      </c>
      <c r="F65" s="2" t="s">
        <v>47</v>
      </c>
    </row>
    <row r="66" spans="1:6" x14ac:dyDescent="0.25">
      <c r="A66" s="2" t="s">
        <v>108</v>
      </c>
      <c r="C66" s="2" t="s">
        <v>225</v>
      </c>
      <c r="D66" s="2" t="s">
        <v>226</v>
      </c>
    </row>
    <row r="67" spans="1:6" x14ac:dyDescent="0.25">
      <c r="A67" s="2" t="s">
        <v>118</v>
      </c>
      <c r="C67" s="2" t="s">
        <v>119</v>
      </c>
      <c r="D67" s="2" t="s">
        <v>120</v>
      </c>
    </row>
    <row r="68" spans="1:6" x14ac:dyDescent="0.25">
      <c r="A68" s="8" t="s">
        <v>430</v>
      </c>
      <c r="B68" s="8" t="s">
        <v>200</v>
      </c>
      <c r="C68" s="8" t="s">
        <v>201</v>
      </c>
      <c r="D68" s="2" t="s">
        <v>205</v>
      </c>
    </row>
    <row r="69" spans="1:6" x14ac:dyDescent="0.25">
      <c r="A69" s="8" t="s">
        <v>431</v>
      </c>
      <c r="B69" s="8" t="s">
        <v>4</v>
      </c>
      <c r="C69" s="8" t="s">
        <v>199</v>
      </c>
      <c r="D69" s="2" t="s">
        <v>204</v>
      </c>
    </row>
    <row r="70" spans="1:6" x14ac:dyDescent="0.25">
      <c r="A70" s="8" t="s">
        <v>432</v>
      </c>
      <c r="B70" s="8" t="s">
        <v>202</v>
      </c>
      <c r="C70" s="8" t="s">
        <v>6</v>
      </c>
      <c r="D70" s="2" t="s">
        <v>203</v>
      </c>
    </row>
    <row r="71" spans="1:6" x14ac:dyDescent="0.25">
      <c r="A71" s="2" t="s">
        <v>433</v>
      </c>
      <c r="C71" s="2" t="s">
        <v>68</v>
      </c>
      <c r="D71" s="2" t="s">
        <v>69</v>
      </c>
      <c r="F71" s="2" t="s">
        <v>70</v>
      </c>
    </row>
    <row r="72" spans="1:6" x14ac:dyDescent="0.25">
      <c r="A72" s="2" t="s">
        <v>434</v>
      </c>
      <c r="C72" s="2" t="s">
        <v>82</v>
      </c>
      <c r="D72" s="2" t="s">
        <v>84</v>
      </c>
      <c r="F72" s="2" t="s">
        <v>85</v>
      </c>
    </row>
    <row r="73" spans="1:6" x14ac:dyDescent="0.25">
      <c r="A73" s="2" t="s">
        <v>435</v>
      </c>
      <c r="C73" s="2" t="s">
        <v>73</v>
      </c>
      <c r="D73" s="2" t="s">
        <v>74</v>
      </c>
      <c r="F73" s="2" t="s">
        <v>75</v>
      </c>
    </row>
    <row r="74" spans="1:6" x14ac:dyDescent="0.25">
      <c r="A74" s="2" t="s">
        <v>436</v>
      </c>
      <c r="C74" s="2" t="s">
        <v>71</v>
      </c>
      <c r="D74" s="2" t="s">
        <v>72</v>
      </c>
      <c r="F74" s="2" t="s">
        <v>70</v>
      </c>
    </row>
    <row r="75" spans="1:6" x14ac:dyDescent="0.25">
      <c r="A75" s="2" t="s">
        <v>437</v>
      </c>
      <c r="C75" s="2" t="s">
        <v>77</v>
      </c>
      <c r="D75" s="2" t="s">
        <v>78</v>
      </c>
      <c r="F75" s="2" t="s">
        <v>79</v>
      </c>
    </row>
    <row r="76" spans="1:6" x14ac:dyDescent="0.25">
      <c r="A76" s="2" t="s">
        <v>438</v>
      </c>
      <c r="C76" s="2" t="s">
        <v>39</v>
      </c>
      <c r="D76" s="2" t="s">
        <v>80</v>
      </c>
      <c r="F76" s="2" t="s">
        <v>81</v>
      </c>
    </row>
    <row r="77" spans="1:6" x14ac:dyDescent="0.25">
      <c r="A77" s="2" t="s">
        <v>393</v>
      </c>
      <c r="C77" s="2" t="s">
        <v>82</v>
      </c>
      <c r="D77" s="2" t="s">
        <v>83</v>
      </c>
      <c r="F77" s="2" t="s">
        <v>85</v>
      </c>
    </row>
    <row r="78" spans="1:6" x14ac:dyDescent="0.25">
      <c r="A78" s="2" t="s">
        <v>392</v>
      </c>
      <c r="C78" s="2" t="s">
        <v>126</v>
      </c>
      <c r="D78" s="2" t="s">
        <v>127</v>
      </c>
    </row>
    <row r="79" spans="1:6" x14ac:dyDescent="0.25">
      <c r="A79" s="2" t="s">
        <v>391</v>
      </c>
      <c r="C79" s="2" t="s">
        <v>48</v>
      </c>
      <c r="D79" s="2" t="s">
        <v>86</v>
      </c>
    </row>
    <row r="80" spans="1:6" x14ac:dyDescent="0.25">
      <c r="A80" s="2" t="s">
        <v>162</v>
      </c>
      <c r="C80" s="2" t="s">
        <v>163</v>
      </c>
      <c r="D80" s="2" t="str">
        <f>I8*0.05&amp;" mg i.v."</f>
        <v>0 mg i.v.</v>
      </c>
      <c r="F80" s="2" t="str">
        <f>"Diazepam "&amp;I8*0.15&amp;" mg i.v."</f>
        <v>Diazepam 0 mg i.v.</v>
      </c>
    </row>
    <row r="81" spans="1:7" x14ac:dyDescent="0.25">
      <c r="A81" s="2" t="s">
        <v>128</v>
      </c>
      <c r="B81" s="2" t="s">
        <v>130</v>
      </c>
      <c r="C81" s="2" t="s">
        <v>227</v>
      </c>
      <c r="D81" s="2" t="s">
        <v>131</v>
      </c>
      <c r="G81" s="7" t="s">
        <v>132</v>
      </c>
    </row>
    <row r="82" spans="1:7" ht="15.75" x14ac:dyDescent="0.25">
      <c r="A82" s="2" t="s">
        <v>390</v>
      </c>
      <c r="C82" s="2" t="s">
        <v>134</v>
      </c>
    </row>
    <row r="83" spans="1:7" x14ac:dyDescent="0.25">
      <c r="A83" s="2" t="s">
        <v>389</v>
      </c>
      <c r="C83" s="2" t="s">
        <v>109</v>
      </c>
      <c r="D83" s="2" t="s">
        <v>387</v>
      </c>
    </row>
    <row r="84" spans="1:7" x14ac:dyDescent="0.25">
      <c r="A84" s="2" t="s">
        <v>388</v>
      </c>
      <c r="C84" s="2" t="s">
        <v>151</v>
      </c>
      <c r="D84" s="2" t="s">
        <v>150</v>
      </c>
    </row>
  </sheetData>
  <sortState ref="A2:H83">
    <sortCondition ref="A1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E20" sqref="E20"/>
    </sheetView>
  </sheetViews>
  <sheetFormatPr baseColWidth="10" defaultRowHeight="15" x14ac:dyDescent="0.25"/>
  <cols>
    <col min="1" max="6" width="20.7109375" customWidth="1"/>
    <col min="7" max="8" width="7.7109375" customWidth="1"/>
  </cols>
  <sheetData>
    <row r="1" spans="1:9" ht="17.25" thickTop="1" thickBot="1" x14ac:dyDescent="0.3">
      <c r="A1" s="3" t="s">
        <v>231</v>
      </c>
      <c r="B1" s="3" t="s">
        <v>246</v>
      </c>
      <c r="C1" s="3" t="s">
        <v>3</v>
      </c>
      <c r="D1" s="3" t="s">
        <v>228</v>
      </c>
      <c r="E1" s="3" t="s">
        <v>229</v>
      </c>
      <c r="F1" s="3" t="s">
        <v>230</v>
      </c>
      <c r="G1" s="6" t="s">
        <v>43</v>
      </c>
      <c r="H1" s="5">
        <v>75</v>
      </c>
      <c r="I1" s="1"/>
    </row>
    <row r="2" spans="1:9" ht="15.75" thickTop="1" x14ac:dyDescent="0.25">
      <c r="A2" t="s">
        <v>247</v>
      </c>
      <c r="B2" s="9" t="s">
        <v>232</v>
      </c>
      <c r="C2" t="s">
        <v>262</v>
      </c>
      <c r="D2" t="s">
        <v>275</v>
      </c>
      <c r="E2" t="s">
        <v>659</v>
      </c>
    </row>
    <row r="3" spans="1:9" x14ac:dyDescent="0.25">
      <c r="A3" t="s">
        <v>247</v>
      </c>
      <c r="B3" s="9" t="s">
        <v>232</v>
      </c>
      <c r="C3" t="s">
        <v>656</v>
      </c>
      <c r="D3" t="s">
        <v>658</v>
      </c>
      <c r="E3" t="s">
        <v>659</v>
      </c>
    </row>
    <row r="4" spans="1:9" x14ac:dyDescent="0.25">
      <c r="A4" t="s">
        <v>247</v>
      </c>
      <c r="B4" s="9" t="s">
        <v>232</v>
      </c>
      <c r="C4" t="s">
        <v>657</v>
      </c>
      <c r="D4" t="s">
        <v>278</v>
      </c>
      <c r="E4" t="s">
        <v>659</v>
      </c>
    </row>
    <row r="5" spans="1:9" x14ac:dyDescent="0.25">
      <c r="A5" s="9" t="s">
        <v>233</v>
      </c>
      <c r="B5" t="s">
        <v>248</v>
      </c>
      <c r="C5" t="s">
        <v>268</v>
      </c>
      <c r="D5" t="s">
        <v>277</v>
      </c>
    </row>
    <row r="6" spans="1:9" x14ac:dyDescent="0.25">
      <c r="A6" s="9" t="s">
        <v>233</v>
      </c>
      <c r="B6" t="s">
        <v>248</v>
      </c>
      <c r="C6" t="s">
        <v>263</v>
      </c>
      <c r="D6" t="s">
        <v>276</v>
      </c>
    </row>
    <row r="7" spans="1:9" x14ac:dyDescent="0.25">
      <c r="A7" s="9" t="s">
        <v>224</v>
      </c>
      <c r="B7" t="s">
        <v>249</v>
      </c>
      <c r="C7" t="s">
        <v>262</v>
      </c>
      <c r="D7" t="s">
        <v>275</v>
      </c>
    </row>
    <row r="8" spans="1:9" x14ac:dyDescent="0.25">
      <c r="A8" s="9" t="s">
        <v>250</v>
      </c>
      <c r="B8" t="s">
        <v>214</v>
      </c>
      <c r="C8" t="s">
        <v>264</v>
      </c>
      <c r="D8" t="s">
        <v>277</v>
      </c>
      <c r="E8" t="str">
        <f>0.025*H1&amp;" ml/min"</f>
        <v>1,875 ml/min</v>
      </c>
      <c r="F8" t="s">
        <v>288</v>
      </c>
    </row>
    <row r="9" spans="1:9" x14ac:dyDescent="0.25">
      <c r="A9" s="9" t="s">
        <v>234</v>
      </c>
      <c r="B9" t="s">
        <v>251</v>
      </c>
      <c r="C9" t="s">
        <v>265</v>
      </c>
      <c r="D9" t="s">
        <v>278</v>
      </c>
      <c r="E9" t="str">
        <f>H1*0.007&amp;" - "&amp;H1*0.014&amp;" ml/h"</f>
        <v>0,525 - 1,05 ml/h</v>
      </c>
      <c r="F9" t="s">
        <v>288</v>
      </c>
    </row>
    <row r="10" spans="1:9" x14ac:dyDescent="0.25">
      <c r="A10" t="s">
        <v>129</v>
      </c>
      <c r="B10" s="9" t="s">
        <v>130</v>
      </c>
      <c r="C10" t="s">
        <v>265</v>
      </c>
      <c r="D10" t="s">
        <v>278</v>
      </c>
    </row>
    <row r="11" spans="1:9" x14ac:dyDescent="0.25">
      <c r="A11" s="9" t="s">
        <v>235</v>
      </c>
      <c r="B11" t="s">
        <v>252</v>
      </c>
      <c r="C11" t="s">
        <v>266</v>
      </c>
      <c r="D11" t="s">
        <v>279</v>
      </c>
      <c r="E11" t="str">
        <f>$H$1*0.013&amp;" - "&amp;$H$1*0.04&amp;" ml/h"</f>
        <v>0,975 - 3 ml/h</v>
      </c>
    </row>
    <row r="12" spans="1:9" x14ac:dyDescent="0.25">
      <c r="A12" s="9" t="s">
        <v>236</v>
      </c>
      <c r="B12" t="s">
        <v>253</v>
      </c>
      <c r="C12" t="s">
        <v>267</v>
      </c>
      <c r="D12" t="s">
        <v>280</v>
      </c>
      <c r="E12" t="s">
        <v>291</v>
      </c>
    </row>
    <row r="13" spans="1:9" x14ac:dyDescent="0.25">
      <c r="A13" t="s">
        <v>237</v>
      </c>
      <c r="B13" s="9" t="s">
        <v>254</v>
      </c>
      <c r="C13" t="s">
        <v>269</v>
      </c>
      <c r="D13" t="s">
        <v>281</v>
      </c>
      <c r="E13" t="str">
        <f>$H$1*0.03&amp;" - "&amp;$H$1*0.3&amp;" ml/h"</f>
        <v>2,25 - 22,5 ml/h</v>
      </c>
    </row>
    <row r="14" spans="1:9" x14ac:dyDescent="0.25">
      <c r="A14" s="9" t="s">
        <v>238</v>
      </c>
      <c r="B14" t="s">
        <v>255</v>
      </c>
      <c r="C14" t="s">
        <v>662</v>
      </c>
      <c r="D14" t="s">
        <v>276</v>
      </c>
      <c r="E14" t="str">
        <f>$H$1*0.05&amp;" - "&amp;$H$1*0.4&amp;" ml/h"</f>
        <v>3,75 - 30 ml/h</v>
      </c>
    </row>
    <row r="15" spans="1:9" x14ac:dyDescent="0.25">
      <c r="A15" s="9" t="s">
        <v>660</v>
      </c>
      <c r="B15" t="s">
        <v>255</v>
      </c>
      <c r="C15" t="s">
        <v>662</v>
      </c>
      <c r="D15" t="s">
        <v>661</v>
      </c>
      <c r="E15" t="str">
        <f>$H$1*0.025&amp;" - "&amp;$H$1*0.2&amp;" ml/h"</f>
        <v>1,875 - 15 ml/h</v>
      </c>
    </row>
    <row r="16" spans="1:9" x14ac:dyDescent="0.25">
      <c r="A16" s="10" t="s">
        <v>239</v>
      </c>
      <c r="B16" s="9" t="s">
        <v>256</v>
      </c>
      <c r="C16" t="s">
        <v>270</v>
      </c>
      <c r="D16" t="s">
        <v>280</v>
      </c>
      <c r="E16" t="str">
        <f>$H$1*0.006&amp;" - "&amp;$H$1*0.06&amp;" ml/h"</f>
        <v>0,45 - 4,5 ml/h</v>
      </c>
    </row>
    <row r="17" spans="1:5" x14ac:dyDescent="0.25">
      <c r="A17" t="s">
        <v>258</v>
      </c>
      <c r="B17" s="9" t="s">
        <v>257</v>
      </c>
      <c r="C17" t="s">
        <v>292</v>
      </c>
      <c r="D17" t="s">
        <v>282</v>
      </c>
      <c r="E17" t="str">
        <f>$H$1*0.5&amp;" - "&amp;$H$1*3&amp;" mg/h"</f>
        <v>37,5 - 225 mg/h</v>
      </c>
    </row>
    <row r="18" spans="1:5" x14ac:dyDescent="0.25">
      <c r="A18" s="9" t="s">
        <v>240</v>
      </c>
      <c r="B18" t="s">
        <v>259</v>
      </c>
      <c r="C18" t="s">
        <v>293</v>
      </c>
      <c r="D18" t="s">
        <v>283</v>
      </c>
    </row>
    <row r="19" spans="1:5" x14ac:dyDescent="0.25">
      <c r="A19" t="s">
        <v>260</v>
      </c>
      <c r="B19" s="9" t="s">
        <v>241</v>
      </c>
      <c r="C19" t="s">
        <v>264</v>
      </c>
      <c r="D19" t="s">
        <v>277</v>
      </c>
      <c r="E19" t="s">
        <v>289</v>
      </c>
    </row>
    <row r="20" spans="1:5" x14ac:dyDescent="0.25">
      <c r="A20" s="9" t="s">
        <v>692</v>
      </c>
      <c r="C20" t="s">
        <v>271</v>
      </c>
      <c r="D20" t="s">
        <v>284</v>
      </c>
      <c r="E20" t="s">
        <v>693</v>
      </c>
    </row>
    <row r="21" spans="1:5" x14ac:dyDescent="0.25">
      <c r="A21" s="9" t="s">
        <v>242</v>
      </c>
      <c r="C21" t="s">
        <v>662</v>
      </c>
      <c r="D21" t="s">
        <v>663</v>
      </c>
      <c r="E21" t="s">
        <v>290</v>
      </c>
    </row>
    <row r="22" spans="1:5" x14ac:dyDescent="0.25">
      <c r="A22" s="9" t="s">
        <v>243</v>
      </c>
      <c r="C22" t="s">
        <v>272</v>
      </c>
    </row>
    <row r="23" spans="1:5" x14ac:dyDescent="0.25">
      <c r="A23" s="9" t="s">
        <v>110</v>
      </c>
      <c r="B23" t="s">
        <v>208</v>
      </c>
      <c r="C23" t="s">
        <v>273</v>
      </c>
      <c r="D23" t="s">
        <v>285</v>
      </c>
    </row>
    <row r="24" spans="1:5" x14ac:dyDescent="0.25">
      <c r="A24" s="9" t="s">
        <v>244</v>
      </c>
      <c r="C24" t="s">
        <v>274</v>
      </c>
      <c r="D24" t="s">
        <v>286</v>
      </c>
    </row>
    <row r="25" spans="1:5" x14ac:dyDescent="0.25">
      <c r="A25" s="9" t="s">
        <v>6</v>
      </c>
      <c r="B25" t="s">
        <v>202</v>
      </c>
      <c r="C25" t="s">
        <v>265</v>
      </c>
      <c r="D25" t="s">
        <v>278</v>
      </c>
      <c r="E25" t="s">
        <v>664</v>
      </c>
    </row>
    <row r="26" spans="1:5" x14ac:dyDescent="0.25">
      <c r="A26" s="9" t="s">
        <v>245</v>
      </c>
      <c r="B26" t="s">
        <v>261</v>
      </c>
      <c r="C26" t="s">
        <v>287</v>
      </c>
    </row>
    <row r="27" spans="1:5" x14ac:dyDescent="0.25">
      <c r="A27" s="9" t="s">
        <v>510</v>
      </c>
      <c r="B27" t="s">
        <v>511</v>
      </c>
      <c r="C27" t="s">
        <v>542</v>
      </c>
      <c r="D27" t="s">
        <v>286</v>
      </c>
      <c r="E27" t="s">
        <v>512</v>
      </c>
    </row>
    <row r="28" spans="1:5" x14ac:dyDescent="0.25">
      <c r="A28" s="9" t="s">
        <v>543</v>
      </c>
      <c r="C28" t="s">
        <v>545</v>
      </c>
      <c r="D28" t="s">
        <v>544</v>
      </c>
      <c r="E28" t="str">
        <f>0.025*H1&amp;" - "&amp;0.035*H1&amp;" ml/h"</f>
        <v>1,875 - 2,625 ml/h</v>
      </c>
    </row>
    <row r="29" spans="1:5" x14ac:dyDescent="0.25">
      <c r="A29" s="9" t="s">
        <v>665</v>
      </c>
      <c r="C29" t="s">
        <v>666</v>
      </c>
      <c r="D29" t="s">
        <v>667</v>
      </c>
      <c r="E29" t="s">
        <v>668</v>
      </c>
    </row>
    <row r="30" spans="1:5" x14ac:dyDescent="0.25">
      <c r="A30" s="10" t="s">
        <v>669</v>
      </c>
      <c r="B30" s="9" t="s">
        <v>670</v>
      </c>
      <c r="C30" t="s">
        <v>671</v>
      </c>
      <c r="D30" t="s">
        <v>672</v>
      </c>
      <c r="E30" t="str">
        <f>0.025*H1&amp;" - "&amp;0.175*H1&amp;" ml/h"</f>
        <v>1,875 - 13,125 ml/h</v>
      </c>
    </row>
    <row r="31" spans="1:5" x14ac:dyDescent="0.25">
      <c r="A31" s="9" t="s">
        <v>689</v>
      </c>
      <c r="C31" t="s">
        <v>690</v>
      </c>
      <c r="D31" t="s">
        <v>279</v>
      </c>
      <c r="E31" t="s">
        <v>691</v>
      </c>
    </row>
    <row r="32" spans="1:5" x14ac:dyDescent="0.25">
      <c r="E32" s="93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workbookViewId="0">
      <pane ySplit="1" topLeftCell="A46" activePane="bottomLeft" state="frozen"/>
      <selection pane="bottomLeft" activeCell="B136" sqref="B136"/>
    </sheetView>
  </sheetViews>
  <sheetFormatPr baseColWidth="10" defaultRowHeight="15" x14ac:dyDescent="0.25"/>
  <cols>
    <col min="1" max="2" width="25.7109375" customWidth="1"/>
    <col min="3" max="3" width="20.85546875" customWidth="1"/>
    <col min="4" max="4" width="25.7109375" customWidth="1"/>
  </cols>
  <sheetData>
    <row r="1" spans="1:9" ht="17.25" thickTop="1" thickBot="1" x14ac:dyDescent="0.3">
      <c r="A1" s="3" t="s">
        <v>340</v>
      </c>
      <c r="B1" s="3" t="s">
        <v>246</v>
      </c>
      <c r="C1" s="3" t="s">
        <v>514</v>
      </c>
      <c r="D1" s="3" t="s">
        <v>36</v>
      </c>
      <c r="E1" s="3"/>
      <c r="F1" s="3"/>
      <c r="G1" s="11"/>
      <c r="H1" s="12"/>
      <c r="I1" s="1"/>
    </row>
    <row r="2" spans="1:9" ht="15.75" thickTop="1" x14ac:dyDescent="0.25">
      <c r="A2" t="s">
        <v>319</v>
      </c>
      <c r="C2" t="s">
        <v>317</v>
      </c>
    </row>
    <row r="3" spans="1:9" x14ac:dyDescent="0.25">
      <c r="A3" t="s">
        <v>306</v>
      </c>
      <c r="B3" t="s">
        <v>307</v>
      </c>
      <c r="C3" t="s">
        <v>317</v>
      </c>
    </row>
    <row r="4" spans="1:9" x14ac:dyDescent="0.25">
      <c r="A4" t="s">
        <v>294</v>
      </c>
      <c r="B4" t="s">
        <v>375</v>
      </c>
      <c r="C4" t="s">
        <v>317</v>
      </c>
    </row>
    <row r="5" spans="1:9" x14ac:dyDescent="0.25">
      <c r="A5" t="s">
        <v>320</v>
      </c>
      <c r="C5" t="s">
        <v>317</v>
      </c>
    </row>
    <row r="6" spans="1:9" x14ac:dyDescent="0.25">
      <c r="A6" t="s">
        <v>110</v>
      </c>
      <c r="B6" t="s">
        <v>208</v>
      </c>
      <c r="C6" t="s">
        <v>317</v>
      </c>
    </row>
    <row r="7" spans="1:9" x14ac:dyDescent="0.25">
      <c r="A7" t="s">
        <v>341</v>
      </c>
      <c r="B7" t="s">
        <v>376</v>
      </c>
      <c r="C7" t="s">
        <v>317</v>
      </c>
    </row>
    <row r="8" spans="1:9" x14ac:dyDescent="0.25">
      <c r="A8" t="s">
        <v>377</v>
      </c>
      <c r="C8" t="s">
        <v>317</v>
      </c>
    </row>
    <row r="9" spans="1:9" x14ac:dyDescent="0.25">
      <c r="A9" t="s">
        <v>342</v>
      </c>
      <c r="C9" t="s">
        <v>317</v>
      </c>
    </row>
    <row r="10" spans="1:9" x14ac:dyDescent="0.25">
      <c r="A10" t="s">
        <v>322</v>
      </c>
      <c r="C10" t="s">
        <v>317</v>
      </c>
    </row>
    <row r="11" spans="1:9" x14ac:dyDescent="0.25">
      <c r="A11" t="s">
        <v>321</v>
      </c>
      <c r="C11" t="s">
        <v>317</v>
      </c>
    </row>
    <row r="12" spans="1:9" x14ac:dyDescent="0.25">
      <c r="A12" t="s">
        <v>343</v>
      </c>
      <c r="C12" t="s">
        <v>317</v>
      </c>
    </row>
    <row r="13" spans="1:9" x14ac:dyDescent="0.25">
      <c r="A13" t="s">
        <v>344</v>
      </c>
      <c r="C13" t="s">
        <v>317</v>
      </c>
    </row>
    <row r="14" spans="1:9" x14ac:dyDescent="0.25">
      <c r="A14" t="s">
        <v>61</v>
      </c>
      <c r="C14" t="s">
        <v>317</v>
      </c>
    </row>
    <row r="15" spans="1:9" x14ac:dyDescent="0.25">
      <c r="A15" t="s">
        <v>345</v>
      </c>
      <c r="C15" t="s">
        <v>317</v>
      </c>
    </row>
    <row r="16" spans="1:9" x14ac:dyDescent="0.25">
      <c r="A16" t="s">
        <v>339</v>
      </c>
      <c r="B16" t="s">
        <v>379</v>
      </c>
      <c r="C16" t="s">
        <v>317</v>
      </c>
    </row>
    <row r="17" spans="1:3" x14ac:dyDescent="0.25">
      <c r="A17" t="s">
        <v>346</v>
      </c>
      <c r="C17" t="s">
        <v>317</v>
      </c>
    </row>
    <row r="18" spans="1:3" x14ac:dyDescent="0.25">
      <c r="A18" t="s">
        <v>311</v>
      </c>
      <c r="C18" t="s">
        <v>317</v>
      </c>
    </row>
    <row r="19" spans="1:3" x14ac:dyDescent="0.25">
      <c r="A19" t="s">
        <v>295</v>
      </c>
      <c r="C19" t="s">
        <v>317</v>
      </c>
    </row>
    <row r="20" spans="1:3" x14ac:dyDescent="0.25">
      <c r="A20" t="s">
        <v>323</v>
      </c>
      <c r="C20" t="s">
        <v>317</v>
      </c>
    </row>
    <row r="21" spans="1:3" x14ac:dyDescent="0.25">
      <c r="A21" t="s">
        <v>324</v>
      </c>
      <c r="C21" t="s">
        <v>317</v>
      </c>
    </row>
    <row r="22" spans="1:3" x14ac:dyDescent="0.25">
      <c r="A22" t="s">
        <v>325</v>
      </c>
      <c r="C22" t="s">
        <v>317</v>
      </c>
    </row>
    <row r="23" spans="1:3" x14ac:dyDescent="0.25">
      <c r="A23" t="s">
        <v>326</v>
      </c>
      <c r="C23" t="s">
        <v>317</v>
      </c>
    </row>
    <row r="24" spans="1:3" x14ac:dyDescent="0.25">
      <c r="A24" t="s">
        <v>327</v>
      </c>
      <c r="B24" t="s">
        <v>380</v>
      </c>
      <c r="C24" t="s">
        <v>317</v>
      </c>
    </row>
    <row r="25" spans="1:3" x14ac:dyDescent="0.25">
      <c r="A25" t="s">
        <v>347</v>
      </c>
      <c r="C25" t="s">
        <v>317</v>
      </c>
    </row>
    <row r="26" spans="1:3" x14ac:dyDescent="0.25">
      <c r="A26" t="s">
        <v>328</v>
      </c>
      <c r="B26" t="s">
        <v>382</v>
      </c>
      <c r="C26" t="s">
        <v>317</v>
      </c>
    </row>
    <row r="27" spans="1:3" x14ac:dyDescent="0.25">
      <c r="A27" t="s">
        <v>329</v>
      </c>
      <c r="C27" t="s">
        <v>317</v>
      </c>
    </row>
    <row r="28" spans="1:3" x14ac:dyDescent="0.25">
      <c r="A28" t="s">
        <v>348</v>
      </c>
      <c r="C28" t="s">
        <v>317</v>
      </c>
    </row>
    <row r="29" spans="1:3" x14ac:dyDescent="0.25">
      <c r="A29" t="s">
        <v>349</v>
      </c>
      <c r="C29" t="s">
        <v>317</v>
      </c>
    </row>
    <row r="30" spans="1:3" x14ac:dyDescent="0.25">
      <c r="A30" t="s">
        <v>330</v>
      </c>
      <c r="C30" t="s">
        <v>317</v>
      </c>
    </row>
    <row r="31" spans="1:3" x14ac:dyDescent="0.25">
      <c r="A31" t="s">
        <v>331</v>
      </c>
      <c r="C31" t="s">
        <v>317</v>
      </c>
    </row>
    <row r="32" spans="1:3" x14ac:dyDescent="0.25">
      <c r="A32" t="s">
        <v>332</v>
      </c>
      <c r="B32" t="s">
        <v>383</v>
      </c>
      <c r="C32" t="s">
        <v>317</v>
      </c>
    </row>
    <row r="33" spans="1:3" x14ac:dyDescent="0.25">
      <c r="A33" t="s">
        <v>333</v>
      </c>
      <c r="C33" t="s">
        <v>317</v>
      </c>
    </row>
    <row r="34" spans="1:3" x14ac:dyDescent="0.25">
      <c r="A34" t="s">
        <v>334</v>
      </c>
      <c r="C34" t="s">
        <v>317</v>
      </c>
    </row>
    <row r="35" spans="1:3" x14ac:dyDescent="0.25">
      <c r="A35" t="s">
        <v>350</v>
      </c>
      <c r="C35" t="s">
        <v>317</v>
      </c>
    </row>
    <row r="36" spans="1:3" x14ac:dyDescent="0.25">
      <c r="A36" t="s">
        <v>335</v>
      </c>
      <c r="C36" t="s">
        <v>317</v>
      </c>
    </row>
    <row r="37" spans="1:3" x14ac:dyDescent="0.25">
      <c r="A37" t="s">
        <v>336</v>
      </c>
      <c r="C37" t="s">
        <v>317</v>
      </c>
    </row>
    <row r="38" spans="1:3" x14ac:dyDescent="0.25">
      <c r="A38" t="s">
        <v>336</v>
      </c>
      <c r="C38" t="s">
        <v>317</v>
      </c>
    </row>
    <row r="39" spans="1:3" x14ac:dyDescent="0.25">
      <c r="A39" t="s">
        <v>352</v>
      </c>
      <c r="C39" t="s">
        <v>317</v>
      </c>
    </row>
    <row r="40" spans="1:3" x14ac:dyDescent="0.25">
      <c r="A40" t="s">
        <v>337</v>
      </c>
      <c r="C40" t="s">
        <v>317</v>
      </c>
    </row>
    <row r="41" spans="1:3" x14ac:dyDescent="0.25">
      <c r="A41" t="s">
        <v>338</v>
      </c>
      <c r="C41" t="s">
        <v>317</v>
      </c>
    </row>
    <row r="42" spans="1:3" x14ac:dyDescent="0.25">
      <c r="A42" t="s">
        <v>351</v>
      </c>
      <c r="B42" t="s">
        <v>384</v>
      </c>
      <c r="C42" t="s">
        <v>317</v>
      </c>
    </row>
    <row r="50" spans="1:3" x14ac:dyDescent="0.25">
      <c r="A50" t="s">
        <v>294</v>
      </c>
      <c r="B50" t="s">
        <v>375</v>
      </c>
      <c r="C50" s="43" t="s">
        <v>513</v>
      </c>
    </row>
    <row r="51" spans="1:3" x14ac:dyDescent="0.25">
      <c r="A51" t="s">
        <v>310</v>
      </c>
      <c r="B51" t="s">
        <v>376</v>
      </c>
      <c r="C51" s="43" t="s">
        <v>513</v>
      </c>
    </row>
    <row r="52" spans="1:3" x14ac:dyDescent="0.25">
      <c r="A52" t="s">
        <v>439</v>
      </c>
      <c r="C52" s="43" t="s">
        <v>513</v>
      </c>
    </row>
    <row r="53" spans="1:3" x14ac:dyDescent="0.25">
      <c r="A53" t="s">
        <v>440</v>
      </c>
      <c r="C53" s="43" t="s">
        <v>513</v>
      </c>
    </row>
    <row r="54" spans="1:3" x14ac:dyDescent="0.25">
      <c r="A54" t="s">
        <v>344</v>
      </c>
      <c r="C54" s="43" t="s">
        <v>513</v>
      </c>
    </row>
    <row r="55" spans="1:3" x14ac:dyDescent="0.25">
      <c r="A55" t="s">
        <v>537</v>
      </c>
      <c r="C55" s="43" t="s">
        <v>513</v>
      </c>
    </row>
    <row r="56" spans="1:3" x14ac:dyDescent="0.25">
      <c r="A56" t="s">
        <v>301</v>
      </c>
      <c r="C56" s="43" t="s">
        <v>513</v>
      </c>
    </row>
    <row r="57" spans="1:3" x14ac:dyDescent="0.25">
      <c r="A57" t="s">
        <v>368</v>
      </c>
      <c r="C57" s="43" t="s">
        <v>513</v>
      </c>
    </row>
    <row r="58" spans="1:3" x14ac:dyDescent="0.25">
      <c r="A58" t="s">
        <v>535</v>
      </c>
      <c r="C58" s="43" t="s">
        <v>513</v>
      </c>
    </row>
    <row r="59" spans="1:3" x14ac:dyDescent="0.25">
      <c r="A59" t="s">
        <v>523</v>
      </c>
      <c r="C59" s="43" t="s">
        <v>513</v>
      </c>
    </row>
    <row r="60" spans="1:3" x14ac:dyDescent="0.25">
      <c r="A60" t="s">
        <v>526</v>
      </c>
      <c r="C60" s="43" t="s">
        <v>513</v>
      </c>
    </row>
    <row r="61" spans="1:3" x14ac:dyDescent="0.25">
      <c r="A61" t="s">
        <v>369</v>
      </c>
      <c r="C61" s="43" t="s">
        <v>513</v>
      </c>
    </row>
    <row r="62" spans="1:3" x14ac:dyDescent="0.25">
      <c r="A62" t="s">
        <v>371</v>
      </c>
      <c r="C62" s="43" t="s">
        <v>513</v>
      </c>
    </row>
    <row r="63" spans="1:3" x14ac:dyDescent="0.25">
      <c r="A63" t="s">
        <v>311</v>
      </c>
      <c r="C63" s="43" t="s">
        <v>513</v>
      </c>
    </row>
    <row r="64" spans="1:3" x14ac:dyDescent="0.25">
      <c r="A64" t="s">
        <v>370</v>
      </c>
      <c r="B64" t="s">
        <v>165</v>
      </c>
      <c r="C64" s="43" t="s">
        <v>513</v>
      </c>
    </row>
    <row r="65" spans="1:3" x14ac:dyDescent="0.25">
      <c r="A65" t="s">
        <v>521</v>
      </c>
      <c r="C65" s="43" t="s">
        <v>513</v>
      </c>
    </row>
    <row r="66" spans="1:3" x14ac:dyDescent="0.25">
      <c r="A66" t="s">
        <v>295</v>
      </c>
      <c r="C66" s="43" t="s">
        <v>513</v>
      </c>
    </row>
    <row r="67" spans="1:3" x14ac:dyDescent="0.25">
      <c r="A67" t="s">
        <v>522</v>
      </c>
      <c r="C67" s="43" t="s">
        <v>513</v>
      </c>
    </row>
    <row r="68" spans="1:3" x14ac:dyDescent="0.25">
      <c r="A68" t="s">
        <v>533</v>
      </c>
      <c r="C68" s="43" t="s">
        <v>513</v>
      </c>
    </row>
    <row r="69" spans="1:3" x14ac:dyDescent="0.25">
      <c r="A69" t="s">
        <v>527</v>
      </c>
      <c r="C69" s="43" t="s">
        <v>513</v>
      </c>
    </row>
    <row r="70" spans="1:3" x14ac:dyDescent="0.25">
      <c r="A70" t="s">
        <v>327</v>
      </c>
      <c r="B70" t="s">
        <v>380</v>
      </c>
      <c r="C70" s="43" t="s">
        <v>513</v>
      </c>
    </row>
    <row r="71" spans="1:3" x14ac:dyDescent="0.25">
      <c r="A71" t="s">
        <v>524</v>
      </c>
      <c r="C71" s="43" t="s">
        <v>513</v>
      </c>
    </row>
    <row r="72" spans="1:3" x14ac:dyDescent="0.25">
      <c r="A72" t="s">
        <v>530</v>
      </c>
      <c r="C72" s="43" t="s">
        <v>513</v>
      </c>
    </row>
    <row r="73" spans="1:3" x14ac:dyDescent="0.25">
      <c r="A73" t="s">
        <v>534</v>
      </c>
      <c r="C73" s="43" t="s">
        <v>513</v>
      </c>
    </row>
    <row r="74" spans="1:3" x14ac:dyDescent="0.25">
      <c r="A74" t="s">
        <v>532</v>
      </c>
      <c r="C74" s="43" t="s">
        <v>513</v>
      </c>
    </row>
    <row r="75" spans="1:3" x14ac:dyDescent="0.25">
      <c r="A75" t="s">
        <v>307</v>
      </c>
      <c r="C75" s="43" t="s">
        <v>513</v>
      </c>
    </row>
    <row r="76" spans="1:3" x14ac:dyDescent="0.25">
      <c r="A76" t="s">
        <v>329</v>
      </c>
      <c r="C76" s="43" t="s">
        <v>513</v>
      </c>
    </row>
    <row r="77" spans="1:3" x14ac:dyDescent="0.25">
      <c r="A77" t="s">
        <v>349</v>
      </c>
      <c r="C77" s="43" t="s">
        <v>513</v>
      </c>
    </row>
    <row r="78" spans="1:3" x14ac:dyDescent="0.25">
      <c r="A78" t="s">
        <v>531</v>
      </c>
      <c r="C78" s="43" t="s">
        <v>513</v>
      </c>
    </row>
    <row r="79" spans="1:3" x14ac:dyDescent="0.25">
      <c r="A79" t="s">
        <v>333</v>
      </c>
      <c r="C79" s="43" t="s">
        <v>513</v>
      </c>
    </row>
    <row r="80" spans="1:3" x14ac:dyDescent="0.25">
      <c r="A80" t="s">
        <v>528</v>
      </c>
      <c r="C80" s="43" t="s">
        <v>513</v>
      </c>
    </row>
    <row r="81" spans="1:4" x14ac:dyDescent="0.25">
      <c r="A81" t="s">
        <v>529</v>
      </c>
      <c r="C81" s="43" t="s">
        <v>513</v>
      </c>
    </row>
    <row r="82" spans="1:4" x14ac:dyDescent="0.25">
      <c r="A82" t="s">
        <v>338</v>
      </c>
      <c r="C82" s="43" t="s">
        <v>513</v>
      </c>
    </row>
    <row r="83" spans="1:4" x14ac:dyDescent="0.25">
      <c r="A83" t="s">
        <v>525</v>
      </c>
      <c r="C83" s="43" t="s">
        <v>513</v>
      </c>
    </row>
    <row r="84" spans="1:4" x14ac:dyDescent="0.25">
      <c r="A84" t="s">
        <v>536</v>
      </c>
      <c r="C84" s="43" t="s">
        <v>513</v>
      </c>
    </row>
    <row r="85" spans="1:4" x14ac:dyDescent="0.25">
      <c r="A85" t="s">
        <v>306</v>
      </c>
      <c r="B85" t="s">
        <v>307</v>
      </c>
      <c r="C85" t="s">
        <v>316</v>
      </c>
      <c r="D85" t="s">
        <v>201</v>
      </c>
    </row>
    <row r="86" spans="1:4" x14ac:dyDescent="0.25">
      <c r="A86" t="s">
        <v>294</v>
      </c>
      <c r="B86" t="s">
        <v>375</v>
      </c>
      <c r="C86" t="s">
        <v>316</v>
      </c>
      <c r="D86" t="s">
        <v>201</v>
      </c>
    </row>
    <row r="87" spans="1:4" x14ac:dyDescent="0.25">
      <c r="A87" t="s">
        <v>302</v>
      </c>
      <c r="C87" t="s">
        <v>316</v>
      </c>
      <c r="D87" t="s">
        <v>312</v>
      </c>
    </row>
    <row r="88" spans="1:4" x14ac:dyDescent="0.25">
      <c r="A88" t="s">
        <v>309</v>
      </c>
      <c r="C88" t="s">
        <v>316</v>
      </c>
    </row>
    <row r="89" spans="1:4" x14ac:dyDescent="0.25">
      <c r="A89" t="s">
        <v>301</v>
      </c>
      <c r="C89" t="s">
        <v>316</v>
      </c>
    </row>
    <row r="90" spans="1:4" x14ac:dyDescent="0.25">
      <c r="A90" t="s">
        <v>296</v>
      </c>
      <c r="B90" t="s">
        <v>378</v>
      </c>
      <c r="C90" t="s">
        <v>316</v>
      </c>
      <c r="D90" t="s">
        <v>201</v>
      </c>
    </row>
    <row r="91" spans="1:4" x14ac:dyDescent="0.25">
      <c r="A91" t="s">
        <v>300</v>
      </c>
      <c r="C91" t="s">
        <v>316</v>
      </c>
    </row>
    <row r="92" spans="1:4" x14ac:dyDescent="0.25">
      <c r="A92" t="s">
        <v>303</v>
      </c>
      <c r="C92" t="s">
        <v>316</v>
      </c>
    </row>
    <row r="93" spans="1:4" x14ac:dyDescent="0.25">
      <c r="A93" t="s">
        <v>295</v>
      </c>
      <c r="C93" t="s">
        <v>316</v>
      </c>
      <c r="D93" t="s">
        <v>201</v>
      </c>
    </row>
    <row r="94" spans="1:4" x14ac:dyDescent="0.25">
      <c r="A94" t="s">
        <v>305</v>
      </c>
      <c r="C94" t="s">
        <v>316</v>
      </c>
    </row>
    <row r="95" spans="1:4" x14ac:dyDescent="0.25">
      <c r="A95" t="s">
        <v>315</v>
      </c>
      <c r="C95" t="s">
        <v>316</v>
      </c>
    </row>
    <row r="96" spans="1:4" x14ac:dyDescent="0.25">
      <c r="A96" t="s">
        <v>308</v>
      </c>
      <c r="C96" t="s">
        <v>316</v>
      </c>
    </row>
    <row r="97" spans="1:4" x14ac:dyDescent="0.25">
      <c r="A97" t="s">
        <v>298</v>
      </c>
      <c r="C97" t="s">
        <v>316</v>
      </c>
    </row>
    <row r="98" spans="1:4" x14ac:dyDescent="0.25">
      <c r="A98" t="s">
        <v>313</v>
      </c>
      <c r="C98" t="s">
        <v>316</v>
      </c>
      <c r="D98" t="s">
        <v>314</v>
      </c>
    </row>
    <row r="99" spans="1:4" x14ac:dyDescent="0.25">
      <c r="A99" t="s">
        <v>299</v>
      </c>
      <c r="C99" t="s">
        <v>316</v>
      </c>
    </row>
    <row r="100" spans="1:4" x14ac:dyDescent="0.25">
      <c r="A100" t="s">
        <v>304</v>
      </c>
      <c r="C100" t="s">
        <v>316</v>
      </c>
    </row>
    <row r="101" spans="1:4" x14ac:dyDescent="0.25">
      <c r="A101" t="s">
        <v>297</v>
      </c>
      <c r="B101" t="s">
        <v>385</v>
      </c>
      <c r="C101" t="s">
        <v>316</v>
      </c>
    </row>
    <row r="103" spans="1:4" x14ac:dyDescent="0.25">
      <c r="A103" t="s">
        <v>110</v>
      </c>
      <c r="B103" t="s">
        <v>208</v>
      </c>
      <c r="C103" t="s">
        <v>318</v>
      </c>
    </row>
    <row r="104" spans="1:4" x14ac:dyDescent="0.25">
      <c r="A104" t="s">
        <v>367</v>
      </c>
      <c r="C104" t="s">
        <v>318</v>
      </c>
    </row>
    <row r="105" spans="1:4" x14ac:dyDescent="0.25">
      <c r="A105" t="s">
        <v>310</v>
      </c>
      <c r="B105" t="s">
        <v>376</v>
      </c>
      <c r="C105" t="s">
        <v>318</v>
      </c>
    </row>
    <row r="106" spans="1:4" x14ac:dyDescent="0.25">
      <c r="A106" t="s">
        <v>374</v>
      </c>
      <c r="C106" t="s">
        <v>318</v>
      </c>
    </row>
    <row r="107" spans="1:4" x14ac:dyDescent="0.25">
      <c r="A107" t="s">
        <v>353</v>
      </c>
      <c r="C107" t="s">
        <v>318</v>
      </c>
    </row>
    <row r="108" spans="1:4" x14ac:dyDescent="0.25">
      <c r="A108" t="s">
        <v>365</v>
      </c>
      <c r="C108" t="s">
        <v>318</v>
      </c>
    </row>
    <row r="109" spans="1:4" x14ac:dyDescent="0.25">
      <c r="A109" t="s">
        <v>360</v>
      </c>
      <c r="C109" t="s">
        <v>318</v>
      </c>
    </row>
    <row r="110" spans="1:4" x14ac:dyDescent="0.25">
      <c r="A110" t="s">
        <v>368</v>
      </c>
      <c r="C110" t="s">
        <v>318</v>
      </c>
    </row>
    <row r="111" spans="1:4" x14ac:dyDescent="0.25">
      <c r="A111" t="s">
        <v>361</v>
      </c>
      <c r="C111" t="s">
        <v>318</v>
      </c>
    </row>
    <row r="112" spans="1:4" x14ac:dyDescent="0.25">
      <c r="A112" t="s">
        <v>362</v>
      </c>
      <c r="C112" t="s">
        <v>318</v>
      </c>
    </row>
    <row r="113" spans="1:3" x14ac:dyDescent="0.25">
      <c r="A113" t="s">
        <v>356</v>
      </c>
      <c r="C113" t="s">
        <v>318</v>
      </c>
    </row>
    <row r="114" spans="1:3" x14ac:dyDescent="0.25">
      <c r="A114" t="s">
        <v>369</v>
      </c>
      <c r="C114" t="s">
        <v>318</v>
      </c>
    </row>
    <row r="115" spans="1:3" x14ac:dyDescent="0.25">
      <c r="A115" t="s">
        <v>371</v>
      </c>
      <c r="C115" t="s">
        <v>318</v>
      </c>
    </row>
    <row r="116" spans="1:3" x14ac:dyDescent="0.25">
      <c r="A116" t="s">
        <v>354</v>
      </c>
      <c r="C116" t="s">
        <v>318</v>
      </c>
    </row>
    <row r="117" spans="1:3" x14ac:dyDescent="0.25">
      <c r="A117" t="s">
        <v>363</v>
      </c>
      <c r="C117" t="s">
        <v>318</v>
      </c>
    </row>
    <row r="118" spans="1:3" x14ac:dyDescent="0.25">
      <c r="A118" t="s">
        <v>370</v>
      </c>
      <c r="B118" t="s">
        <v>165</v>
      </c>
      <c r="C118" t="s">
        <v>318</v>
      </c>
    </row>
    <row r="119" spans="1:3" x14ac:dyDescent="0.25">
      <c r="A119" t="s">
        <v>366</v>
      </c>
      <c r="C119" t="s">
        <v>318</v>
      </c>
    </row>
    <row r="120" spans="1:3" x14ac:dyDescent="0.25">
      <c r="A120" t="s">
        <v>364</v>
      </c>
      <c r="C120" t="s">
        <v>318</v>
      </c>
    </row>
    <row r="121" spans="1:3" x14ac:dyDescent="0.25">
      <c r="A121" t="s">
        <v>315</v>
      </c>
      <c r="C121" t="s">
        <v>318</v>
      </c>
    </row>
    <row r="122" spans="1:3" x14ac:dyDescent="0.25">
      <c r="A122" t="s">
        <v>372</v>
      </c>
      <c r="C122" t="s">
        <v>318</v>
      </c>
    </row>
    <row r="123" spans="1:3" x14ac:dyDescent="0.25">
      <c r="A123" t="s">
        <v>358</v>
      </c>
      <c r="B123" t="s">
        <v>381</v>
      </c>
      <c r="C123" s="44" t="s">
        <v>318</v>
      </c>
    </row>
    <row r="124" spans="1:3" x14ac:dyDescent="0.25">
      <c r="A124" t="s">
        <v>357</v>
      </c>
      <c r="C124" t="s">
        <v>318</v>
      </c>
    </row>
    <row r="125" spans="1:3" x14ac:dyDescent="0.25">
      <c r="A125" t="s">
        <v>373</v>
      </c>
      <c r="C125" t="s">
        <v>318</v>
      </c>
    </row>
    <row r="126" spans="1:3" x14ac:dyDescent="0.25">
      <c r="A126" t="s">
        <v>332</v>
      </c>
      <c r="B126" t="s">
        <v>383</v>
      </c>
      <c r="C126" t="s">
        <v>318</v>
      </c>
    </row>
    <row r="127" spans="1:3" x14ac:dyDescent="0.25">
      <c r="A127" t="s">
        <v>355</v>
      </c>
      <c r="C127" s="44" t="s">
        <v>318</v>
      </c>
    </row>
    <row r="128" spans="1:3" x14ac:dyDescent="0.25">
      <c r="A128" t="s">
        <v>359</v>
      </c>
      <c r="C128" t="s">
        <v>318</v>
      </c>
    </row>
    <row r="134" spans="3:3" x14ac:dyDescent="0.25">
      <c r="C134" t="s">
        <v>516</v>
      </c>
    </row>
    <row r="135" spans="3:3" x14ac:dyDescent="0.25">
      <c r="C135" t="s">
        <v>515</v>
      </c>
    </row>
    <row r="136" spans="3:3" x14ac:dyDescent="0.25">
      <c r="C136" t="s">
        <v>517</v>
      </c>
    </row>
    <row r="138" spans="3:3" x14ac:dyDescent="0.25">
      <c r="C138" t="s">
        <v>520</v>
      </c>
    </row>
    <row r="139" spans="3:3" x14ac:dyDescent="0.25">
      <c r="C139" t="s">
        <v>520</v>
      </c>
    </row>
    <row r="140" spans="3:3" x14ac:dyDescent="0.25">
      <c r="C140" t="s">
        <v>518</v>
      </c>
    </row>
    <row r="141" spans="3:3" x14ac:dyDescent="0.25">
      <c r="C141" t="s">
        <v>518</v>
      </c>
    </row>
    <row r="142" spans="3:3" x14ac:dyDescent="0.25">
      <c r="C142" t="s">
        <v>519</v>
      </c>
    </row>
    <row r="143" spans="3:3" x14ac:dyDescent="0.25">
      <c r="C143" t="s">
        <v>519</v>
      </c>
    </row>
    <row r="144" spans="3:3" x14ac:dyDescent="0.25">
      <c r="C144" t="s">
        <v>519</v>
      </c>
    </row>
  </sheetData>
  <sortState ref="A2:D144">
    <sortCondition ref="C1"/>
  </sortState>
  <conditionalFormatting sqref="C124:C126 C103:C122 C128 C134:C135 C2:C42 C50:C101 C137:C144">
    <cfRule type="containsText" dxfId="9" priority="1" operator="containsText" text="QT-Zeit-Verlängerung">
      <formula>NOT(ISERROR(SEARCH("QT-Zeit-Verlängerung",C2)))</formula>
    </cfRule>
    <cfRule type="containsText" dxfId="8" priority="2" operator="containsText" text="hepatotoxisch">
      <formula>NOT(ISERROR(SEARCH("hepatotoxisch",C2)))</formula>
    </cfRule>
    <cfRule type="containsText" dxfId="7" priority="3" operator="containsText" text="nephrotoxisch">
      <formula>NOT(ISERROR(SEARCH("nephrotoxisch",C2)))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activeCell="P5" sqref="P5"/>
    </sheetView>
  </sheetViews>
  <sheetFormatPr baseColWidth="10" defaultRowHeight="15" x14ac:dyDescent="0.25"/>
  <cols>
    <col min="8" max="8" width="11.42578125" customWidth="1"/>
  </cols>
  <sheetData>
    <row r="1" spans="1:19" ht="18.75" x14ac:dyDescent="0.3">
      <c r="A1" s="15" t="s">
        <v>491</v>
      </c>
      <c r="B1" s="16"/>
      <c r="C1" s="16"/>
      <c r="D1" s="16"/>
      <c r="E1" s="17"/>
      <c r="F1" s="47"/>
      <c r="G1" s="50" t="s">
        <v>441</v>
      </c>
      <c r="H1" s="51"/>
      <c r="I1" s="51"/>
      <c r="J1" s="51"/>
      <c r="K1" s="51"/>
      <c r="L1" s="51"/>
      <c r="M1" s="52"/>
      <c r="O1" s="15" t="s">
        <v>679</v>
      </c>
      <c r="P1" s="16"/>
      <c r="Q1" s="16"/>
      <c r="R1" s="16"/>
      <c r="S1" s="17"/>
    </row>
    <row r="2" spans="1:19" x14ac:dyDescent="0.25">
      <c r="A2" s="13"/>
      <c r="B2" s="1"/>
      <c r="C2" s="1"/>
      <c r="D2" s="1"/>
      <c r="E2" s="18"/>
      <c r="F2" s="42"/>
      <c r="G2" s="13"/>
      <c r="H2" s="1"/>
      <c r="I2" s="1"/>
      <c r="J2" s="1"/>
      <c r="K2" s="1"/>
      <c r="L2" s="1"/>
      <c r="M2" s="18"/>
      <c r="O2" s="13"/>
      <c r="P2" s="1"/>
      <c r="Q2" s="1"/>
      <c r="R2" s="1"/>
      <c r="S2" s="18"/>
    </row>
    <row r="3" spans="1:19" x14ac:dyDescent="0.25">
      <c r="A3" s="13" t="s">
        <v>492</v>
      </c>
      <c r="B3" s="1"/>
      <c r="C3" s="1"/>
      <c r="D3" s="41">
        <f>COUNTIF(D4:D13,"korrekt")</f>
        <v>0</v>
      </c>
      <c r="E3" s="40" t="s">
        <v>450</v>
      </c>
      <c r="F3" s="49"/>
      <c r="G3" s="53" t="s">
        <v>596</v>
      </c>
      <c r="H3" s="54"/>
      <c r="I3" s="54"/>
      <c r="J3" s="24"/>
      <c r="K3" s="1"/>
      <c r="L3" s="1"/>
      <c r="M3" s="18"/>
      <c r="O3" s="13" t="s">
        <v>681</v>
      </c>
      <c r="P3" s="105" t="s">
        <v>680</v>
      </c>
      <c r="Q3" s="105"/>
      <c r="R3" s="56"/>
      <c r="S3" s="83"/>
    </row>
    <row r="4" spans="1:19" ht="17.25" x14ac:dyDescent="0.25">
      <c r="B4" s="32" t="s">
        <v>497</v>
      </c>
      <c r="C4" s="33"/>
      <c r="D4" s="37"/>
      <c r="E4" s="18"/>
      <c r="F4" s="42"/>
      <c r="G4" s="13" t="s">
        <v>597</v>
      </c>
      <c r="H4" s="1"/>
      <c r="I4" s="55">
        <v>44.2</v>
      </c>
      <c r="J4" s="1" t="s">
        <v>598</v>
      </c>
      <c r="K4" s="56" t="s">
        <v>599</v>
      </c>
      <c r="L4" s="1" t="s">
        <v>600</v>
      </c>
      <c r="M4" s="18"/>
      <c r="O4" s="13" t="s">
        <v>682</v>
      </c>
      <c r="P4" s="101">
        <v>34</v>
      </c>
      <c r="Q4" s="1"/>
      <c r="R4" s="56"/>
      <c r="S4" s="18"/>
    </row>
    <row r="5" spans="1:19" ht="17.25" x14ac:dyDescent="0.25">
      <c r="B5" s="34" t="s">
        <v>498</v>
      </c>
      <c r="C5" s="25"/>
      <c r="D5" s="38"/>
      <c r="E5" s="18"/>
      <c r="F5" s="42"/>
      <c r="G5" s="13" t="s">
        <v>601</v>
      </c>
      <c r="H5" s="1"/>
      <c r="I5" s="55">
        <v>70.7</v>
      </c>
      <c r="J5" s="1" t="s">
        <v>598</v>
      </c>
      <c r="K5" s="1"/>
      <c r="L5" s="1"/>
      <c r="M5" s="18"/>
      <c r="O5" s="13" t="s">
        <v>548</v>
      </c>
      <c r="P5" s="1"/>
      <c r="Q5" s="1"/>
      <c r="R5" s="56"/>
      <c r="S5" s="18"/>
    </row>
    <row r="6" spans="1:19" x14ac:dyDescent="0.25">
      <c r="B6" s="34" t="s">
        <v>499</v>
      </c>
      <c r="C6" s="25"/>
      <c r="D6" s="38"/>
      <c r="E6" s="18"/>
      <c r="F6" s="42"/>
      <c r="G6" s="57" t="str">
        <f>IF(I6="","","korrigierter pO2")</f>
        <v/>
      </c>
      <c r="H6" s="1"/>
      <c r="I6" s="58" t="str">
        <f>IF(I4=0,"",IF(I4&lt;35,(I5-1.66*(40-I4)),""))</f>
        <v/>
      </c>
      <c r="J6" s="1" t="str">
        <f>IF(I6="","","mmHg")</f>
        <v/>
      </c>
      <c r="K6" s="1"/>
      <c r="L6" s="56"/>
      <c r="M6" s="18"/>
      <c r="O6" s="13"/>
      <c r="P6" s="1"/>
      <c r="Q6" s="1"/>
      <c r="R6" s="56"/>
      <c r="S6" s="18"/>
    </row>
    <row r="7" spans="1:19" x14ac:dyDescent="0.25">
      <c r="B7" s="34" t="s">
        <v>500</v>
      </c>
      <c r="C7" s="25"/>
      <c r="D7" s="38"/>
      <c r="E7" s="18"/>
      <c r="F7" s="49"/>
      <c r="G7" s="13"/>
      <c r="H7" s="1"/>
      <c r="I7" s="1"/>
      <c r="J7" s="1"/>
      <c r="K7" s="1"/>
      <c r="L7" s="1"/>
      <c r="M7" s="18"/>
      <c r="O7" s="13"/>
      <c r="P7" s="1"/>
      <c r="Q7" s="1"/>
      <c r="R7" s="56"/>
      <c r="S7" s="18"/>
    </row>
    <row r="8" spans="1:19" x14ac:dyDescent="0.25">
      <c r="B8" s="34" t="s">
        <v>506</v>
      </c>
      <c r="C8" s="25"/>
      <c r="D8" s="38"/>
      <c r="E8" s="18"/>
      <c r="F8" s="49"/>
      <c r="G8" s="103" t="s">
        <v>627</v>
      </c>
      <c r="H8" s="104"/>
      <c r="I8" s="104"/>
      <c r="J8" s="59"/>
      <c r="K8" s="1"/>
      <c r="L8" s="1"/>
      <c r="M8" s="18"/>
      <c r="O8" s="13"/>
      <c r="P8" s="1"/>
      <c r="Q8" s="1"/>
      <c r="R8" s="56"/>
      <c r="S8" s="18"/>
    </row>
    <row r="9" spans="1:19" x14ac:dyDescent="0.25">
      <c r="B9" s="34" t="s">
        <v>501</v>
      </c>
      <c r="C9" s="25"/>
      <c r="D9" s="38"/>
      <c r="E9" s="18"/>
      <c r="F9" s="49"/>
      <c r="G9" s="13"/>
      <c r="H9" s="1"/>
      <c r="I9" s="1"/>
      <c r="J9" s="1"/>
      <c r="K9" s="1"/>
      <c r="L9" s="1"/>
      <c r="M9" s="18"/>
      <c r="O9" s="13"/>
      <c r="P9" s="1"/>
      <c r="Q9" s="1"/>
      <c r="R9" s="56"/>
      <c r="S9" s="18"/>
    </row>
    <row r="10" spans="1:19" x14ac:dyDescent="0.25">
      <c r="B10" s="34" t="s">
        <v>502</v>
      </c>
      <c r="C10" s="25"/>
      <c r="D10" s="38"/>
      <c r="E10" s="18"/>
      <c r="F10" s="49"/>
      <c r="G10" s="13" t="str">
        <f>IF(G8="Nasenbrille","Flow",IF(G8="Maske","Flow",""))</f>
        <v/>
      </c>
      <c r="H10" s="1"/>
      <c r="I10" s="60"/>
      <c r="J10" s="1" t="str">
        <f>IF(G8="Nasenbrille","l/min",IF(G8="Maske","l/min",""))</f>
        <v/>
      </c>
      <c r="K10" s="1"/>
      <c r="L10" s="1"/>
      <c r="M10" s="18"/>
      <c r="O10" s="13"/>
      <c r="P10" s="1"/>
      <c r="Q10" s="1"/>
      <c r="R10" s="56"/>
      <c r="S10" s="18"/>
    </row>
    <row r="11" spans="1:19" x14ac:dyDescent="0.25">
      <c r="B11" s="34" t="s">
        <v>503</v>
      </c>
      <c r="C11" s="25"/>
      <c r="D11" s="38"/>
      <c r="E11" s="18"/>
      <c r="F11" s="49"/>
      <c r="G11" s="13" t="str">
        <f>IF(G8="NIV","FiO2",IF(G8="endotracheale Intubation","FiO2",""))</f>
        <v>FiO2</v>
      </c>
      <c r="H11" s="1"/>
      <c r="I11" s="61">
        <v>0.3</v>
      </c>
      <c r="J11" s="1" t="str">
        <f>IF(G8="NIV","von 1",IF(G8="endotracheale Intubation","von 1",""))</f>
        <v>von 1</v>
      </c>
      <c r="K11" s="1"/>
      <c r="L11" s="1"/>
      <c r="M11" s="18"/>
      <c r="O11" s="13"/>
      <c r="P11" s="1"/>
      <c r="Q11" s="1"/>
      <c r="R11" s="56"/>
      <c r="S11" s="18"/>
    </row>
    <row r="12" spans="1:19" x14ac:dyDescent="0.25">
      <c r="B12" s="34" t="s">
        <v>504</v>
      </c>
      <c r="C12" s="25"/>
      <c r="D12" s="38"/>
      <c r="E12" s="18"/>
      <c r="G12" s="14"/>
      <c r="H12" s="22"/>
      <c r="I12" s="22"/>
      <c r="J12" s="22"/>
      <c r="K12" s="22"/>
      <c r="L12" s="22"/>
      <c r="M12" s="23"/>
      <c r="O12" s="13"/>
      <c r="P12" s="1"/>
      <c r="Q12" s="1"/>
      <c r="R12" s="56"/>
      <c r="S12" s="18"/>
    </row>
    <row r="13" spans="1:19" x14ac:dyDescent="0.25">
      <c r="B13" s="35" t="s">
        <v>505</v>
      </c>
      <c r="C13" s="36"/>
      <c r="D13" s="39"/>
      <c r="E13" s="18"/>
      <c r="G13" s="13"/>
      <c r="H13" s="1"/>
      <c r="I13" s="1"/>
      <c r="J13" s="1"/>
      <c r="K13" s="1"/>
      <c r="L13" s="1"/>
      <c r="M13" s="18"/>
      <c r="O13" s="13"/>
      <c r="P13" s="1"/>
      <c r="Q13" s="1"/>
      <c r="R13" s="56"/>
      <c r="S13" s="18"/>
    </row>
    <row r="14" spans="1:19" x14ac:dyDescent="0.25">
      <c r="A14" s="13" t="s">
        <v>494</v>
      </c>
      <c r="B14" s="1"/>
      <c r="C14" s="1"/>
      <c r="D14" s="1"/>
      <c r="E14" s="40" t="s">
        <v>509</v>
      </c>
      <c r="G14" s="57" t="str">
        <f>IF(I14="","","FiO2 ")</f>
        <v xml:space="preserve">FiO2 </v>
      </c>
      <c r="H14" s="1"/>
      <c r="I14" s="60">
        <f>IF(G8="Raumluft",0.21,IF(G8="Nasenbrille",0.21+0.04*I10,IF(G8="Maske",0.21+0.04*I10,IF(G8="NIV",I11,IF(G8="endotracheale Intubation",I11,"")))))</f>
        <v>0.3</v>
      </c>
      <c r="J14" s="1"/>
      <c r="K14" s="56" t="s">
        <v>599</v>
      </c>
      <c r="L14" s="1" t="s">
        <v>602</v>
      </c>
      <c r="M14" s="18"/>
      <c r="O14" t="s">
        <v>683</v>
      </c>
      <c r="P14" s="94">
        <f>IF(P4="","",(P4+10)/2)</f>
        <v>22</v>
      </c>
      <c r="Q14" t="s">
        <v>598</v>
      </c>
    </row>
    <row r="15" spans="1:19" x14ac:dyDescent="0.25">
      <c r="A15" s="13" t="s">
        <v>493</v>
      </c>
      <c r="C15" s="1"/>
      <c r="D15" s="1"/>
      <c r="E15" s="40" t="s">
        <v>507</v>
      </c>
      <c r="G15" s="13"/>
      <c r="H15" s="1"/>
      <c r="I15" s="1"/>
      <c r="J15" s="1"/>
      <c r="K15" s="1"/>
      <c r="L15" s="1" t="s">
        <v>603</v>
      </c>
      <c r="M15" s="18"/>
    </row>
    <row r="16" spans="1:19" x14ac:dyDescent="0.25">
      <c r="A16" s="13" t="s">
        <v>495</v>
      </c>
      <c r="B16" s="1"/>
      <c r="C16" s="1"/>
      <c r="D16" s="1"/>
      <c r="E16" s="40" t="s">
        <v>508</v>
      </c>
      <c r="G16" s="13"/>
      <c r="H16" s="1"/>
      <c r="I16" s="62"/>
      <c r="J16" s="1"/>
      <c r="K16" s="1"/>
      <c r="L16" s="1"/>
      <c r="M16" s="18"/>
    </row>
    <row r="17" spans="1:13" x14ac:dyDescent="0.25">
      <c r="A17" s="13" t="s">
        <v>496</v>
      </c>
      <c r="B17" s="1"/>
      <c r="C17" s="1"/>
      <c r="D17" s="1"/>
      <c r="E17" s="40" t="s">
        <v>450</v>
      </c>
      <c r="G17" s="13"/>
      <c r="H17" s="1"/>
      <c r="I17" s="1"/>
      <c r="J17" s="1"/>
      <c r="K17" s="1"/>
      <c r="L17" s="1"/>
      <c r="M17" s="18"/>
    </row>
    <row r="18" spans="1:13" x14ac:dyDescent="0.25">
      <c r="A18" s="13"/>
      <c r="B18" s="1"/>
      <c r="C18" s="1"/>
      <c r="D18" s="1"/>
      <c r="E18" s="18"/>
      <c r="G18" s="20" t="s">
        <v>604</v>
      </c>
      <c r="H18" s="1"/>
      <c r="I18" s="63">
        <f>IF(I5=0,"",IF(I4&lt;35,I6/I14,I5/I14))</f>
        <v>235.66666666666669</v>
      </c>
      <c r="J18" s="64" t="s">
        <v>598</v>
      </c>
      <c r="K18" s="1"/>
      <c r="L18" s="1"/>
      <c r="M18" s="18"/>
    </row>
    <row r="19" spans="1:13" x14ac:dyDescent="0.25">
      <c r="A19" s="26" t="str">
        <f>IF(E19=0,"ambulante Behandlung möglich",IF(E19=1,"niedriges Risiko (stationär) 3,2% Letalität",IF(E19=2,"erhöhtes Risiko (stationär) 13% Letalität",IF(E19=3,"hohes Risiko (Intensiv) 17% Letalität",IF(E19=4,"hohes Risiko (Intensiv) 41,5 % Letalität","sehr hohes Risiko (Intensiv) 57 % Letalität")))))</f>
        <v>ambulante Behandlung möglich</v>
      </c>
      <c r="B19" s="22"/>
      <c r="C19" s="22"/>
      <c r="D19" s="22"/>
      <c r="E19" s="27">
        <f>(IF(E3="ja",1,0)+IF(E14="&gt;7",1,0)+IF(E15="&gt;30",1,0)+IF(E16="&lt;90sys/&lt;60dia",1,0)+IF(E17="ja",1,0))</f>
        <v>0</v>
      </c>
      <c r="G19" s="13"/>
      <c r="H19" s="1"/>
      <c r="I19" s="1"/>
      <c r="J19" s="1"/>
      <c r="K19" s="1"/>
      <c r="L19" s="1"/>
      <c r="M19" s="18"/>
    </row>
    <row r="20" spans="1:13" x14ac:dyDescent="0.25">
      <c r="G20" s="13"/>
      <c r="H20" s="1"/>
      <c r="I20" s="65"/>
      <c r="J20" s="66"/>
      <c r="K20" s="1"/>
      <c r="L20" s="1"/>
      <c r="M20" s="18"/>
    </row>
    <row r="21" spans="1:13" x14ac:dyDescent="0.25">
      <c r="G21" s="48"/>
      <c r="H21" s="42"/>
      <c r="I21" s="1"/>
      <c r="J21" s="1"/>
      <c r="K21" s="1"/>
      <c r="L21" s="1"/>
      <c r="M21" s="18"/>
    </row>
    <row r="22" spans="1:13" x14ac:dyDescent="0.25">
      <c r="G22" s="20" t="s">
        <v>605</v>
      </c>
      <c r="H22" s="42" t="str">
        <f>IF(I18&gt;300,"kein ARDS",IF(AND(I18&lt;300,I18&gt;201),"mildes ARDS",IF(AND(I18&lt;200,I18&gt;100),"moderates ARDS",IF(I18&lt;100,"schweres ARDS",""))))</f>
        <v>mildes ARDS</v>
      </c>
      <c r="I22" s="1"/>
      <c r="J22" s="1"/>
      <c r="K22" s="1"/>
      <c r="L22" s="1"/>
      <c r="M22" s="18"/>
    </row>
    <row r="23" spans="1:13" ht="18.75" x14ac:dyDescent="0.3">
      <c r="A23" s="15" t="s">
        <v>628</v>
      </c>
      <c r="B23" s="16"/>
      <c r="C23" s="16"/>
      <c r="D23" s="16"/>
      <c r="E23" s="17"/>
      <c r="G23" s="20" t="s">
        <v>553</v>
      </c>
      <c r="H23" s="1" t="b">
        <f>IF(H22="","",IF(H22="leichtes ARDS","Intensivmedizinische Überwachung",IF(H22="moderates ARDS","Intensivmedizinische Überwachung, &lt;150mmHg Bauchlagerung",IF(H22="schweres ARDS","Intensivmedizinische Überwachung, Bauchlagerung empfohlen"))))</f>
        <v>0</v>
      </c>
      <c r="I23" s="1"/>
      <c r="J23" s="1"/>
      <c r="K23" s="1"/>
      <c r="L23" s="1"/>
      <c r="M23" s="18"/>
    </row>
    <row r="24" spans="1:13" x14ac:dyDescent="0.25">
      <c r="A24" s="13"/>
      <c r="B24" s="1"/>
      <c r="C24" s="1"/>
      <c r="D24" s="1"/>
      <c r="E24" s="18"/>
      <c r="G24" s="13"/>
      <c r="H24" s="1"/>
      <c r="I24" s="1"/>
      <c r="J24" s="1"/>
      <c r="K24" s="1"/>
      <c r="L24" s="1"/>
      <c r="M24" s="18"/>
    </row>
    <row r="25" spans="1:13" x14ac:dyDescent="0.25">
      <c r="A25" s="13" t="s">
        <v>630</v>
      </c>
      <c r="B25" s="82">
        <v>75</v>
      </c>
      <c r="C25" s="1"/>
      <c r="D25" s="56" t="s">
        <v>629</v>
      </c>
      <c r="E25" s="83" t="str">
        <f>B25*10&amp;" µg/l"</f>
        <v>750 µg/l</v>
      </c>
      <c r="G25" s="14"/>
      <c r="H25" s="22"/>
      <c r="I25" s="22"/>
      <c r="J25" s="22"/>
      <c r="K25" s="22"/>
      <c r="L25" s="22"/>
      <c r="M25" s="23"/>
    </row>
    <row r="26" spans="1:13" x14ac:dyDescent="0.25">
      <c r="A26" s="14"/>
      <c r="B26" s="22"/>
      <c r="C26" s="22"/>
      <c r="D26" s="81"/>
      <c r="E26" s="23"/>
      <c r="G26" s="13"/>
      <c r="H26" s="1"/>
      <c r="I26" s="1"/>
      <c r="J26" s="1"/>
      <c r="K26" s="1"/>
      <c r="L26" s="1"/>
      <c r="M26" s="18"/>
    </row>
    <row r="27" spans="1:13" ht="18.75" x14ac:dyDescent="0.3">
      <c r="A27" s="1"/>
      <c r="B27" s="1"/>
      <c r="C27" s="1"/>
      <c r="D27" s="1"/>
      <c r="E27" s="1"/>
      <c r="G27" s="67" t="s">
        <v>606</v>
      </c>
      <c r="H27" s="42"/>
      <c r="I27" s="42"/>
      <c r="J27" s="42"/>
      <c r="K27" s="1"/>
      <c r="L27" s="1"/>
      <c r="M27" s="18"/>
    </row>
    <row r="28" spans="1:13" x14ac:dyDescent="0.25">
      <c r="G28" s="48"/>
      <c r="H28" s="42"/>
      <c r="I28" s="42"/>
      <c r="J28" s="68"/>
      <c r="K28" s="56"/>
      <c r="L28" s="1"/>
      <c r="M28" s="18"/>
    </row>
    <row r="29" spans="1:13" x14ac:dyDescent="0.25">
      <c r="G29" s="69" t="s">
        <v>607</v>
      </c>
      <c r="H29" s="70" t="s">
        <v>608</v>
      </c>
      <c r="I29" s="70"/>
      <c r="J29" s="70"/>
      <c r="K29" s="70"/>
      <c r="L29" s="70"/>
      <c r="M29" s="71"/>
    </row>
    <row r="30" spans="1:13" x14ac:dyDescent="0.25">
      <c r="G30" s="72" t="s">
        <v>609</v>
      </c>
      <c r="H30" s="73" t="s">
        <v>610</v>
      </c>
      <c r="I30" s="73"/>
      <c r="J30" s="73"/>
      <c r="K30" s="73"/>
      <c r="L30" s="73"/>
      <c r="M30" s="74"/>
    </row>
    <row r="31" spans="1:13" x14ac:dyDescent="0.25">
      <c r="G31" s="75" t="s">
        <v>611</v>
      </c>
      <c r="H31" s="76" t="s">
        <v>612</v>
      </c>
      <c r="I31" s="76"/>
      <c r="J31" s="76"/>
      <c r="K31" s="76"/>
      <c r="L31" s="76"/>
      <c r="M31" s="77"/>
    </row>
  </sheetData>
  <mergeCells count="2">
    <mergeCell ref="G8:I8"/>
    <mergeCell ref="P3:Q3"/>
  </mergeCells>
  <conditionalFormatting sqref="I18">
    <cfRule type="cellIs" dxfId="6" priority="5" operator="lessThan">
      <formula>100</formula>
    </cfRule>
    <cfRule type="cellIs" dxfId="5" priority="6" operator="between">
      <formula>101</formula>
      <formula>200</formula>
    </cfRule>
    <cfRule type="cellIs" dxfId="4" priority="7" operator="between">
      <formula>201</formula>
      <formula>"&gt;300"</formula>
    </cfRule>
  </conditionalFormatting>
  <conditionalFormatting sqref="I6">
    <cfRule type="cellIs" dxfId="3" priority="4" operator="notEqual">
      <formula>""</formula>
    </cfRule>
  </conditionalFormatting>
  <conditionalFormatting sqref="I14">
    <cfRule type="cellIs" dxfId="2" priority="3" operator="notEqual">
      <formula>""</formula>
    </cfRule>
  </conditionalFormatting>
  <conditionalFormatting sqref="I10">
    <cfRule type="expression" dxfId="1" priority="2">
      <formula>G10="Flow"</formula>
    </cfRule>
  </conditionalFormatting>
  <conditionalFormatting sqref="I11">
    <cfRule type="expression" dxfId="0" priority="1">
      <formula>G11="FiO2"</formula>
    </cfRule>
  </conditionalFormatting>
  <dataValidations count="7">
    <dataValidation type="list" showInputMessage="1" showErrorMessage="1" sqref="E3 E17">
      <formula1>"ja,nein"</formula1>
    </dataValidation>
    <dataValidation type="list" showInputMessage="1" showErrorMessage="1" sqref="D4:D13">
      <formula1>"korrekt,falsch"</formula1>
    </dataValidation>
    <dataValidation type="list" showInputMessage="1" showErrorMessage="1" sqref="E14">
      <formula1>"&gt;7,&lt;7"</formula1>
    </dataValidation>
    <dataValidation type="list" showInputMessage="1" showErrorMessage="1" sqref="E15">
      <formula1>"&gt;30,&lt;30"</formula1>
    </dataValidation>
    <dataValidation type="list" showInputMessage="1" showErrorMessage="1" sqref="E16">
      <formula1>"&lt;90sys/&lt;60dia,&gt;90sys/&gt;60dia"</formula1>
    </dataValidation>
    <dataValidation type="list" allowBlank="1" showInputMessage="1" showErrorMessage="1" sqref="G8:I8">
      <formula1>"Raumluft,Nasenbrille,Maske,NIV,endotracheale Intubation"</formula1>
    </dataValidation>
    <dataValidation type="list" allowBlank="1" showInputMessage="1" showErrorMessage="1" sqref="P3">
      <formula1>"Raumluft,NIV,endotracheale Intubation"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B41" sqref="B41"/>
    </sheetView>
  </sheetViews>
  <sheetFormatPr baseColWidth="10" defaultRowHeight="15" x14ac:dyDescent="0.25"/>
  <sheetData>
    <row r="1" spans="1:6" ht="18.75" x14ac:dyDescent="0.3">
      <c r="A1" s="15" t="s">
        <v>613</v>
      </c>
    </row>
    <row r="2" spans="1:6" x14ac:dyDescent="0.25">
      <c r="A2" s="13"/>
    </row>
    <row r="4" spans="1:6" x14ac:dyDescent="0.25">
      <c r="A4" s="78" t="s">
        <v>618</v>
      </c>
      <c r="B4" s="78"/>
      <c r="C4" s="78"/>
      <c r="D4" s="78"/>
      <c r="E4" s="78"/>
      <c r="F4" s="79">
        <f>IF(C6="",0,IF((C6/C7)&lt;400,1,IF((C6/C7)&lt;300,2,IF((C6/C7)&lt;200,3,IF((C6/C7)&lt;100,4,"")))))</f>
        <v>0</v>
      </c>
    </row>
    <row r="6" spans="1:6" x14ac:dyDescent="0.25">
      <c r="A6" s="13" t="s">
        <v>546</v>
      </c>
      <c r="C6" s="80"/>
      <c r="D6" t="s">
        <v>598</v>
      </c>
    </row>
    <row r="7" spans="1:6" x14ac:dyDescent="0.25">
      <c r="A7" t="s">
        <v>548</v>
      </c>
      <c r="C7" s="80"/>
      <c r="D7" t="s">
        <v>617</v>
      </c>
    </row>
    <row r="9" spans="1:6" x14ac:dyDescent="0.25">
      <c r="A9" s="78" t="s">
        <v>619</v>
      </c>
      <c r="B9" s="78"/>
      <c r="C9" s="78"/>
      <c r="D9" s="78"/>
      <c r="E9" s="78"/>
      <c r="F9" s="79">
        <f>IF(OR(SUM(E11:E13)=14,SUM(E11:E13)=13),1,IF(OR(SUM(E11:E13)=12,SUM(E11:E13)=11,SUM(E11:E13)=10),2,IF(OR(SUM(E11:E13)=9,SUM(E11:E13)=8,SUM(E11:E13)=7,SUM(E11:E13)=6),3,IF(OR(SUM(E11:E13)=5,(SUM(E11:E13)&lt;5)),4,0))))</f>
        <v>4</v>
      </c>
    </row>
    <row r="11" spans="1:6" x14ac:dyDescent="0.25">
      <c r="A11" t="s">
        <v>614</v>
      </c>
      <c r="C11" s="106"/>
      <c r="D11" s="106"/>
      <c r="E11" t="str">
        <f>IF(C11="spontan",4,IF(C11="auf Ansprache",3,IF(C11="bei Schmerzreiz",2,IF(C11="keine Reaktion",1,""))))</f>
        <v/>
      </c>
    </row>
    <row r="12" spans="1:6" x14ac:dyDescent="0.25">
      <c r="A12" t="s">
        <v>615</v>
      </c>
      <c r="C12" s="106"/>
      <c r="D12" s="106"/>
      <c r="E12" t="str">
        <f>IF(C12="orientiert",5,IF(C12="desorientiert",4,IF(C12="Einzelworte, zusammenhangslos",3,IF(C12="Laute",2,IF(C12="keine verbale Reaktion",1,"")))))</f>
        <v/>
      </c>
    </row>
    <row r="13" spans="1:6" x14ac:dyDescent="0.25">
      <c r="A13" t="s">
        <v>616</v>
      </c>
      <c r="C13" s="106"/>
      <c r="D13" s="106"/>
      <c r="E13" t="str">
        <f>IF(C13="bei Aufforderung",6,IF(C13="gezielt bei Schmerzreiz",5,IF(C13="ungezielt bei Schmerzreiz",4,IF(C13="Beugesynergismen",3,IF(C13="Strecksynergismen",2,IF(C13="keine Reaktion",1,""))))))</f>
        <v/>
      </c>
    </row>
    <row r="15" spans="1:6" x14ac:dyDescent="0.25">
      <c r="A15" s="78" t="s">
        <v>620</v>
      </c>
      <c r="B15" s="78"/>
      <c r="C15" s="78"/>
      <c r="D15" s="78"/>
      <c r="E15" s="78"/>
      <c r="F15" s="79">
        <f>IF(A17="",0,IF(A17="Mittlerer arterieller Druck &lt;70 mmHg",1,IF(A17="Dopamin &lt;5 µg/kg/min o. Doputamin",2,IF(A17="Dopamin &gt;5 µg/kg/min o. Adrenalin &lt; 0,1 µg/kg/min o. Noradrenalin &lt; 0,1 µg/kg/min",3,IF(A17="Dopamin &gt;15 µg/kg/min o. Adrenalin &gt; 0,1 µg/kg/min o. Noradrenalin &gt; 0,1 µg/kg/min",4,"")))))</f>
        <v>0</v>
      </c>
    </row>
    <row r="17" spans="1:6" x14ac:dyDescent="0.25">
      <c r="A17" s="106"/>
      <c r="B17" s="106"/>
      <c r="C17" s="106"/>
      <c r="D17" s="106"/>
      <c r="E17" s="106"/>
      <c r="F17" s="106"/>
    </row>
    <row r="19" spans="1:6" x14ac:dyDescent="0.25">
      <c r="A19" s="78" t="s">
        <v>621</v>
      </c>
      <c r="B19" s="78"/>
      <c r="C19" s="78"/>
      <c r="D19" s="78"/>
      <c r="E19" s="78"/>
      <c r="F19" s="79">
        <f>IF(C21="",0,IF(C21="1,2 - 1,9 mg/dl",1,IF(C21="2,0 - 5,9 mg/dl",2,IF(C21="6,0 - 11,9 mg/dl",3,IF(C21="&gt; 12 mg/dl",4,"")))))</f>
        <v>0</v>
      </c>
    </row>
    <row r="21" spans="1:6" x14ac:dyDescent="0.25">
      <c r="A21" t="s">
        <v>622</v>
      </c>
      <c r="C21" s="106"/>
      <c r="D21" s="106"/>
    </row>
    <row r="23" spans="1:6" x14ac:dyDescent="0.25">
      <c r="A23" s="78" t="s">
        <v>623</v>
      </c>
      <c r="B23" s="78"/>
      <c r="C23" s="78"/>
      <c r="D23" s="78"/>
      <c r="E23" s="78"/>
      <c r="F23" s="79">
        <f>IF(C25="",0,IF(C25="&lt; 150.000 /µl",1,IF(C25="&lt;100.000 /µl",2,IF(C25="&lt; 50.000 /µl",3,IF(C25="&lt; 20.000 /µl",4,"")))))</f>
        <v>0</v>
      </c>
    </row>
    <row r="25" spans="1:6" x14ac:dyDescent="0.25">
      <c r="A25" t="s">
        <v>624</v>
      </c>
      <c r="C25" s="106"/>
      <c r="D25" s="106"/>
    </row>
    <row r="27" spans="1:6" x14ac:dyDescent="0.25">
      <c r="A27" s="78" t="s">
        <v>625</v>
      </c>
      <c r="B27" s="78"/>
      <c r="C27" s="78"/>
      <c r="D27" s="78"/>
      <c r="E27" s="78"/>
      <c r="F27" s="79">
        <f>IF(C29="",0,IF(C29="1,2 - 1,9 mg/dl",1,IF(C29="2,0 - 3,4 mg/dl",2,IF(C29="3,5 - 4,9 mg/dl",3,IF(C29="&gt;5 mg/dl",4,"")))))</f>
        <v>0</v>
      </c>
    </row>
    <row r="29" spans="1:6" x14ac:dyDescent="0.25">
      <c r="A29" t="s">
        <v>626</v>
      </c>
      <c r="C29" s="106"/>
      <c r="D29" s="106"/>
    </row>
    <row r="33" spans="1:6" x14ac:dyDescent="0.25">
      <c r="B33" s="9" t="s">
        <v>613</v>
      </c>
      <c r="C33" s="107" t="str">
        <f>IF(C6="","",(F4+F9+F15+F19+F23+F27))</f>
        <v/>
      </c>
      <c r="D33" s="107"/>
    </row>
    <row r="36" spans="1:6" x14ac:dyDescent="0.25">
      <c r="A36" s="90" t="s">
        <v>651</v>
      </c>
      <c r="B36" s="87" t="s">
        <v>653</v>
      </c>
      <c r="C36" s="87"/>
      <c r="D36" s="87"/>
      <c r="E36" s="87"/>
      <c r="F36" s="87"/>
    </row>
    <row r="37" spans="1:6" x14ac:dyDescent="0.25">
      <c r="A37" s="91" t="str">
        <f>"9 - 11"</f>
        <v>9 - 11</v>
      </c>
      <c r="B37" s="88" t="s">
        <v>655</v>
      </c>
      <c r="C37" s="88"/>
      <c r="D37" s="88"/>
      <c r="E37" s="88"/>
      <c r="F37" s="88"/>
    </row>
    <row r="38" spans="1:6" x14ac:dyDescent="0.25">
      <c r="A38" s="92" t="s">
        <v>652</v>
      </c>
      <c r="B38" s="89" t="s">
        <v>654</v>
      </c>
      <c r="C38" s="89"/>
      <c r="D38" s="89"/>
      <c r="E38" s="89"/>
      <c r="F38" s="89"/>
    </row>
  </sheetData>
  <mergeCells count="8">
    <mergeCell ref="C29:D29"/>
    <mergeCell ref="C33:D33"/>
    <mergeCell ref="A17:F17"/>
    <mergeCell ref="C11:D11"/>
    <mergeCell ref="C12:D12"/>
    <mergeCell ref="C13:D13"/>
    <mergeCell ref="C21:D21"/>
    <mergeCell ref="C25:D25"/>
  </mergeCells>
  <dataValidations count="7">
    <dataValidation type="list" allowBlank="1" showInputMessage="1" showErrorMessage="1" sqref="C13">
      <formula1>"bei Aufforderung,gezielt bei Schmerzreiz,ungezielt bei Schmerzreiz,Beugesynergismen,Strecksynergismen,keine Reaktion"</formula1>
    </dataValidation>
    <dataValidation type="list" allowBlank="1" showInputMessage="1" showErrorMessage="1" sqref="C21">
      <mc:AlternateContent xmlns:x12ac="http://schemas.microsoft.com/office/spreadsheetml/2011/1/ac" xmlns:mc="http://schemas.openxmlformats.org/markup-compatibility/2006">
        <mc:Choice Requires="x12ac">
          <x12ac:list>"1,2 - 1,9 mg/dl","2,0 - 5,9 mg/dl","6,0 - 11,9 mg/dl",&gt; 12 mg/dl</x12ac:list>
        </mc:Choice>
        <mc:Fallback>
          <formula1>"1,2 - 1,9 mg/dl,2,0 - 5,9 mg/dl,6,0 - 11,9 mg/dl,&gt; 12 mg/dl"</formula1>
        </mc:Fallback>
      </mc:AlternateContent>
    </dataValidation>
    <dataValidation type="list" allowBlank="1" showInputMessage="1" showErrorMessage="1" sqref="C25">
      <formula1>"&lt; 150.000 /µl,&lt;100.000 /µl, &lt; 50.000 /µl,&lt; 20.000 /µl"</formula1>
    </dataValidation>
    <dataValidation type="list" allowBlank="1" showInputMessage="1" showErrorMessage="1" sqref="C29">
      <mc:AlternateContent xmlns:x12ac="http://schemas.microsoft.com/office/spreadsheetml/2011/1/ac" xmlns:mc="http://schemas.openxmlformats.org/markup-compatibility/2006">
        <mc:Choice Requires="x12ac">
          <x12ac:list>"1,2 - 1,9 mg/dl","2,0 - 3,4 mg/dl","3,5 - 4,9 mg/dl",&gt;5 mg/dl</x12ac:list>
        </mc:Choice>
        <mc:Fallback>
          <formula1>"1,2 - 1,9 mg/dl,2,0 - 3,4 mg/dl,3,5 - 4,9 mg/dl,&gt;5 mg/dl"</formula1>
        </mc:Fallback>
      </mc:AlternateContent>
    </dataValidation>
    <dataValidation type="list" allowBlank="1" showInputMessage="1" showErrorMessage="1" sqref="C11:D11">
      <formula1>"spontan,auf Ansprache,bei Schmerzreiz,keine Reaktion"</formula1>
    </dataValidation>
    <dataValidation type="list" allowBlank="1" showInputMessage="1" showErrorMessage="1" sqref="C12:D12">
      <mc:AlternateContent xmlns:x12ac="http://schemas.microsoft.com/office/spreadsheetml/2011/1/ac" xmlns:mc="http://schemas.openxmlformats.org/markup-compatibility/2006">
        <mc:Choice Requires="x12ac">
          <x12ac:list>orientiert,desorientiert,"Einzelworte, zusammenhangslos",Laute,keine verbale Reaktion</x12ac:list>
        </mc:Choice>
        <mc:Fallback>
          <formula1>"orientiert,desorientiert,Einzelworte, zusammenhangslos,Laute,keine verbale Reaktion"</formula1>
        </mc:Fallback>
      </mc:AlternateContent>
    </dataValidation>
    <dataValidation type="list" allowBlank="1" showInputMessage="1" showErrorMessage="1" sqref="A17:F17">
      <mc:AlternateContent xmlns:x12ac="http://schemas.microsoft.com/office/spreadsheetml/2011/1/ac" xmlns:mc="http://schemas.openxmlformats.org/markup-compatibility/2006">
        <mc:Choice Requires="x12ac">
          <x12ac:list>Mittlerer arterieller Druck &lt;70 mmHg,Dopamin &lt;5 µg/kg/min o. Doputamin,"Dopamin &gt;5 µg/kg/min o. Adrenalin &lt; 0,1 µg/kg/min o. Noradrenalin &lt; 0,1 µg/kg/min","Dopamin &gt;15 µg/kg/min o. Adrenalin &gt; 0,1 µg/kg/min o. Noradrenalin &gt; 0,1 µg/kg/min"</x12ac:list>
        </mc:Choice>
        <mc:Fallback>
          <formula1>"Mittlerer arterieller Druck &lt;70 mmHg,Dopamin &lt;5 µg/kg/min o. Doputamin,Dopamin &gt;5 µg/kg/min o. Adrenalin &lt; 0,1 µg/kg/min o. Noradrenalin &lt; 0,1 µg/kg/min,Dopamin &gt;15 µg/kg/min o. Adrenalin &gt; 0,1 µg/kg/min o. Noradrenalin &gt; 0,1 µg/kg/min"</formula1>
        </mc:Fallback>
      </mc:AlternateContent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R23" sqref="R23"/>
    </sheetView>
  </sheetViews>
  <sheetFormatPr baseColWidth="10" defaultRowHeight="15" x14ac:dyDescent="0.25"/>
  <sheetData>
    <row r="1" spans="1:17" ht="20.25" x14ac:dyDescent="0.35">
      <c r="A1" s="15" t="s">
        <v>442</v>
      </c>
      <c r="B1" s="16"/>
      <c r="C1" s="16"/>
      <c r="D1" s="16"/>
      <c r="E1" s="17"/>
      <c r="G1" s="15" t="s">
        <v>468</v>
      </c>
      <c r="H1" s="16"/>
      <c r="I1" s="16"/>
      <c r="J1" s="16"/>
      <c r="K1" s="17"/>
      <c r="M1" s="15" t="s">
        <v>479</v>
      </c>
      <c r="N1" s="16"/>
      <c r="O1" s="16"/>
      <c r="P1" s="16"/>
      <c r="Q1" s="17"/>
    </row>
    <row r="2" spans="1:17" x14ac:dyDescent="0.25">
      <c r="A2" s="13"/>
      <c r="B2" s="1"/>
      <c r="C2" s="1"/>
      <c r="D2" s="1"/>
      <c r="E2" s="18"/>
      <c r="G2" s="13"/>
      <c r="H2" s="1"/>
      <c r="I2" s="1"/>
      <c r="J2" s="1"/>
      <c r="K2" s="18"/>
      <c r="M2" s="13"/>
      <c r="N2" s="1"/>
      <c r="O2" s="1"/>
      <c r="P2" s="1"/>
      <c r="Q2" s="18"/>
    </row>
    <row r="3" spans="1:17" x14ac:dyDescent="0.25">
      <c r="A3" s="13" t="s">
        <v>443</v>
      </c>
      <c r="B3" s="1"/>
      <c r="C3" s="1"/>
      <c r="D3" s="1"/>
      <c r="E3" s="19" t="s">
        <v>450</v>
      </c>
      <c r="G3" s="13" t="s">
        <v>469</v>
      </c>
      <c r="H3" s="1"/>
      <c r="I3" s="1"/>
      <c r="J3" s="1"/>
      <c r="K3" s="19" t="s">
        <v>450</v>
      </c>
      <c r="M3" s="13" t="s">
        <v>480</v>
      </c>
      <c r="N3" s="1"/>
      <c r="O3" s="1"/>
      <c r="P3" s="1"/>
      <c r="Q3" s="19" t="s">
        <v>450</v>
      </c>
    </row>
    <row r="4" spans="1:17" x14ac:dyDescent="0.25">
      <c r="A4" s="13" t="s">
        <v>444</v>
      </c>
      <c r="B4" s="1"/>
      <c r="C4" s="1"/>
      <c r="D4" s="1"/>
      <c r="E4" s="19" t="s">
        <v>450</v>
      </c>
      <c r="G4" s="13" t="s">
        <v>386</v>
      </c>
      <c r="H4" s="1"/>
      <c r="I4" s="1"/>
      <c r="J4" s="1"/>
      <c r="K4" s="19" t="s">
        <v>450</v>
      </c>
      <c r="M4" s="13" t="s">
        <v>481</v>
      </c>
      <c r="N4" s="1"/>
      <c r="O4" s="1"/>
      <c r="P4" s="1"/>
      <c r="Q4" s="19" t="s">
        <v>450</v>
      </c>
    </row>
    <row r="5" spans="1:17" x14ac:dyDescent="0.25">
      <c r="A5" s="13" t="s">
        <v>445</v>
      </c>
      <c r="B5" s="1"/>
      <c r="C5" s="1"/>
      <c r="D5" s="1"/>
      <c r="E5" s="19" t="s">
        <v>450</v>
      </c>
      <c r="G5" s="13" t="s">
        <v>462</v>
      </c>
      <c r="H5" s="1"/>
      <c r="I5" s="1"/>
      <c r="J5" s="1"/>
      <c r="K5" s="19" t="s">
        <v>450</v>
      </c>
      <c r="M5" s="13" t="s">
        <v>482</v>
      </c>
      <c r="N5" s="1"/>
      <c r="O5" s="1"/>
      <c r="P5" s="1"/>
      <c r="Q5" s="19" t="s">
        <v>450</v>
      </c>
    </row>
    <row r="6" spans="1:17" x14ac:dyDescent="0.25">
      <c r="A6" s="13" t="s">
        <v>446</v>
      </c>
      <c r="B6" s="1"/>
      <c r="C6" s="1"/>
      <c r="D6" s="1"/>
      <c r="E6" s="19" t="s">
        <v>450</v>
      </c>
      <c r="G6" s="13" t="s">
        <v>463</v>
      </c>
      <c r="H6" s="1"/>
      <c r="I6" s="1"/>
      <c r="J6" s="1"/>
      <c r="K6" s="19" t="s">
        <v>450</v>
      </c>
      <c r="M6" s="13" t="s">
        <v>483</v>
      </c>
      <c r="N6" s="1"/>
      <c r="O6" s="1"/>
      <c r="P6" s="1"/>
      <c r="Q6" s="19" t="s">
        <v>450</v>
      </c>
    </row>
    <row r="7" spans="1:17" x14ac:dyDescent="0.25">
      <c r="A7" s="13" t="s">
        <v>447</v>
      </c>
      <c r="B7" s="1"/>
      <c r="C7" s="1"/>
      <c r="D7" s="1"/>
      <c r="E7" s="19" t="s">
        <v>450</v>
      </c>
      <c r="G7" s="13" t="s">
        <v>464</v>
      </c>
      <c r="H7" s="1"/>
      <c r="I7" s="1"/>
      <c r="J7" s="1"/>
      <c r="K7" s="19" t="s">
        <v>450</v>
      </c>
      <c r="M7" s="13" t="s">
        <v>484</v>
      </c>
      <c r="N7" s="1"/>
      <c r="O7" s="1"/>
      <c r="P7" s="1"/>
      <c r="Q7" s="19" t="s">
        <v>450</v>
      </c>
    </row>
    <row r="8" spans="1:17" x14ac:dyDescent="0.25">
      <c r="A8" s="13" t="s">
        <v>448</v>
      </c>
      <c r="B8" s="1"/>
      <c r="C8" s="1"/>
      <c r="D8" s="1"/>
      <c r="E8" s="19" t="s">
        <v>450</v>
      </c>
      <c r="G8" s="13" t="s">
        <v>465</v>
      </c>
      <c r="H8" s="1"/>
      <c r="I8" s="1"/>
      <c r="J8" s="1"/>
      <c r="K8" s="19" t="s">
        <v>450</v>
      </c>
      <c r="M8" s="13"/>
      <c r="N8" s="1"/>
      <c r="O8" s="1"/>
      <c r="P8" s="1"/>
      <c r="Q8" s="18"/>
    </row>
    <row r="9" spans="1:17" x14ac:dyDescent="0.25">
      <c r="A9" s="13" t="s">
        <v>449</v>
      </c>
      <c r="B9" s="1"/>
      <c r="C9" s="1"/>
      <c r="D9" s="1"/>
      <c r="E9" s="19" t="s">
        <v>450</v>
      </c>
      <c r="G9" s="13" t="s">
        <v>466</v>
      </c>
      <c r="H9" s="1"/>
      <c r="I9" s="1"/>
      <c r="J9" s="1"/>
      <c r="K9" s="19" t="s">
        <v>450</v>
      </c>
      <c r="M9" s="26" t="str">
        <f>IF(Q9&gt;0,"Erhöhtes Komplikationsrisiko (stat. Aufnahme)","Niedriges Risiko (ambulant)")</f>
        <v>Niedriges Risiko (ambulant)</v>
      </c>
      <c r="N9" s="22"/>
      <c r="O9" s="22"/>
      <c r="P9" s="22"/>
      <c r="Q9" s="27">
        <f>(IF(Q3="ja",1,0)+IF(Q4="ja",2,0)+IF(Q5="ja",1,0)+IF(Q6="ja",1,0)+IF(Q7="ja",1,0))</f>
        <v>0</v>
      </c>
    </row>
    <row r="10" spans="1:17" x14ac:dyDescent="0.25">
      <c r="A10" s="13"/>
      <c r="B10" s="1"/>
      <c r="C10" s="1"/>
      <c r="D10" s="1"/>
      <c r="E10" s="18"/>
      <c r="G10" s="13" t="s">
        <v>467</v>
      </c>
      <c r="H10" s="1"/>
      <c r="I10" s="1"/>
      <c r="J10" s="1"/>
      <c r="K10" s="19" t="s">
        <v>450</v>
      </c>
    </row>
    <row r="11" spans="1:17" x14ac:dyDescent="0.25">
      <c r="A11" s="20" t="str">
        <f>IF(E11&gt;4,"Lungenarterienembolie wahrscheinlich","Lungenarterienembolie unwahrscheinlich")</f>
        <v>Lungenarterienembolie unwahrscheinlich</v>
      </c>
      <c r="B11" s="1"/>
      <c r="C11" s="1"/>
      <c r="D11" s="1"/>
      <c r="E11" s="21">
        <f>(IF(E3="ja",3,0)+IF(E4="ja",3,0)+IF(E5="ja",1.5,0)+IF(E6="ja",1.5,0)+IF(E7="ja",1.5,0)+IF(E8="ja",1,0)+IF(E9="ja",1,0))</f>
        <v>0</v>
      </c>
      <c r="G11" s="13"/>
      <c r="H11" s="1"/>
      <c r="I11" s="1"/>
      <c r="J11" s="1"/>
      <c r="K11" s="18"/>
    </row>
    <row r="12" spans="1:17" x14ac:dyDescent="0.25">
      <c r="A12" s="14"/>
      <c r="B12" s="22"/>
      <c r="C12" s="22"/>
      <c r="D12" s="22"/>
      <c r="E12" s="23"/>
      <c r="G12" s="26" t="str">
        <f>IF(K12=1,"1% Schlaganfallrisiko",IF(K12=2,"2% Schlaganfallrisiko",IF(K12=3,"3% Schlaganfallrisiko",IF(K12=4,"4% Schlaganfallrisiko",IF(K12=5,"7% Schlaganfallrisiko",IF(K12=6,"10% Schlaganfallrisiko","&lt; 1% Schlaganfallrisiko"))))))</f>
        <v>&lt; 1% Schlaganfallrisiko</v>
      </c>
      <c r="H12" s="22"/>
      <c r="I12" s="22"/>
      <c r="J12" s="22"/>
      <c r="K12" s="27">
        <f>(IF(K3="ja",1,0)+IF(K4="ja",1,0)+IF(K5="ja",2,0)+IF(K6="ja",1,0)+IF(K7="ja",2,0)+IF(K8="ja",1,0)+IF(K9="ja",1,0)+IF(K10="ja",1,0))</f>
        <v>0</v>
      </c>
    </row>
    <row r="13" spans="1:17" x14ac:dyDescent="0.25">
      <c r="G13" s="1"/>
      <c r="H13" s="1"/>
      <c r="I13" s="1"/>
      <c r="J13" s="1"/>
      <c r="K13" s="1"/>
    </row>
    <row r="14" spans="1:17" ht="18.75" x14ac:dyDescent="0.3">
      <c r="A14" s="15" t="s">
        <v>451</v>
      </c>
      <c r="B14" s="16"/>
      <c r="C14" s="16"/>
      <c r="D14" s="16"/>
      <c r="E14" s="17"/>
      <c r="G14" s="15" t="s">
        <v>478</v>
      </c>
      <c r="H14" s="16"/>
      <c r="I14" s="16"/>
      <c r="J14" s="16"/>
      <c r="K14" s="17"/>
      <c r="M14" s="15" t="s">
        <v>486</v>
      </c>
      <c r="N14" s="16"/>
      <c r="O14" s="16"/>
      <c r="P14" s="16"/>
      <c r="Q14" s="17"/>
    </row>
    <row r="15" spans="1:17" x14ac:dyDescent="0.25">
      <c r="A15" s="13"/>
      <c r="B15" s="1"/>
      <c r="C15" s="1"/>
      <c r="D15" s="1"/>
      <c r="E15" s="18"/>
      <c r="G15" s="13"/>
      <c r="H15" s="1"/>
      <c r="I15" s="1"/>
      <c r="J15" s="1"/>
      <c r="K15" s="18"/>
      <c r="M15" s="13"/>
      <c r="N15" s="1"/>
      <c r="O15" s="1"/>
      <c r="P15" s="1"/>
      <c r="Q15" s="18"/>
    </row>
    <row r="16" spans="1:17" x14ac:dyDescent="0.25">
      <c r="A16" s="13" t="s">
        <v>452</v>
      </c>
      <c r="B16" s="1"/>
      <c r="C16" s="1"/>
      <c r="D16" s="1"/>
      <c r="E16" s="19" t="s">
        <v>450</v>
      </c>
      <c r="G16" s="13" t="s">
        <v>386</v>
      </c>
      <c r="H16" s="1"/>
      <c r="I16" s="1"/>
      <c r="J16" s="1"/>
      <c r="K16" s="19" t="s">
        <v>450</v>
      </c>
      <c r="M16" s="13" t="s">
        <v>487</v>
      </c>
      <c r="N16" s="1"/>
      <c r="O16" s="1"/>
      <c r="P16" s="1"/>
      <c r="Q16" s="19"/>
    </row>
    <row r="17" spans="1:17" x14ac:dyDescent="0.25">
      <c r="A17" s="13" t="s">
        <v>453</v>
      </c>
      <c r="B17" s="1"/>
      <c r="C17" s="1"/>
      <c r="D17" s="1"/>
      <c r="E17" s="19" t="s">
        <v>450</v>
      </c>
      <c r="G17" s="13" t="s">
        <v>470</v>
      </c>
      <c r="H17" s="1"/>
      <c r="I17" s="1"/>
      <c r="J17" s="1"/>
      <c r="K17" s="19" t="s">
        <v>450</v>
      </c>
      <c r="M17" s="13" t="s">
        <v>490</v>
      </c>
      <c r="N17" s="1"/>
      <c r="O17" s="1"/>
      <c r="P17" s="1"/>
      <c r="Q17" s="19"/>
    </row>
    <row r="18" spans="1:17" x14ac:dyDescent="0.25">
      <c r="A18" s="13" t="s">
        <v>455</v>
      </c>
      <c r="B18" s="1"/>
      <c r="C18" s="1"/>
      <c r="D18" s="1"/>
      <c r="E18" s="19" t="s">
        <v>450</v>
      </c>
      <c r="G18" s="13" t="s">
        <v>471</v>
      </c>
      <c r="H18" s="1"/>
      <c r="I18" s="1"/>
      <c r="J18" s="1"/>
      <c r="K18" s="19" t="s">
        <v>450</v>
      </c>
      <c r="M18" s="13"/>
      <c r="N18" s="1"/>
      <c r="O18" s="1"/>
      <c r="P18" s="1"/>
      <c r="Q18" s="18"/>
    </row>
    <row r="19" spans="1:17" x14ac:dyDescent="0.25">
      <c r="A19" s="13" t="s">
        <v>454</v>
      </c>
      <c r="B19" s="1"/>
      <c r="C19" s="1"/>
      <c r="D19" s="1"/>
      <c r="E19" s="19" t="s">
        <v>450</v>
      </c>
      <c r="G19" s="13" t="s">
        <v>472</v>
      </c>
      <c r="H19" s="1"/>
      <c r="I19" s="1"/>
      <c r="J19" s="1"/>
      <c r="K19" s="19" t="s">
        <v>450</v>
      </c>
      <c r="M19" s="29"/>
      <c r="N19" s="30"/>
      <c r="O19" s="30"/>
      <c r="P19" s="30"/>
      <c r="Q19" s="31" t="str">
        <f>IF(Q16=0,"",IF(Q16&gt;70,"90 % Wahrscheinlichkeit",IF(Q16&gt;42,"60 % Wahrscheinlichkeit","Troponinkontrolle n. 6 h empfohlen")))</f>
        <v/>
      </c>
    </row>
    <row r="20" spans="1:17" x14ac:dyDescent="0.25">
      <c r="A20" s="13" t="s">
        <v>456</v>
      </c>
      <c r="B20" s="1"/>
      <c r="C20" s="1"/>
      <c r="D20" s="1"/>
      <c r="E20" s="19" t="s">
        <v>450</v>
      </c>
      <c r="G20" s="13" t="s">
        <v>473</v>
      </c>
      <c r="H20" s="1"/>
      <c r="I20" s="1"/>
      <c r="J20" s="1"/>
      <c r="K20" s="19" t="s">
        <v>450</v>
      </c>
      <c r="M20" s="29"/>
      <c r="N20" s="30"/>
      <c r="O20" s="30"/>
      <c r="P20" s="30"/>
      <c r="Q20" s="31" t="str">
        <f>IF(Q17&gt;0.9,"CAVE: Troponinretention bei Niereninsuffizienz","")</f>
        <v/>
      </c>
    </row>
    <row r="21" spans="1:17" x14ac:dyDescent="0.25">
      <c r="A21" s="13" t="s">
        <v>457</v>
      </c>
      <c r="B21" s="1"/>
      <c r="C21" s="1"/>
      <c r="D21" s="1"/>
      <c r="E21" s="19" t="s">
        <v>450</v>
      </c>
      <c r="G21" s="13" t="s">
        <v>474</v>
      </c>
      <c r="H21" s="1"/>
      <c r="I21" s="1"/>
      <c r="J21" s="1"/>
      <c r="K21" s="19" t="s">
        <v>450</v>
      </c>
      <c r="M21" s="13"/>
      <c r="N21" s="1"/>
      <c r="O21" s="1"/>
      <c r="P21" s="1"/>
      <c r="Q21" s="18"/>
    </row>
    <row r="22" spans="1:17" x14ac:dyDescent="0.25">
      <c r="A22" s="13" t="s">
        <v>458</v>
      </c>
      <c r="B22" s="1"/>
      <c r="C22" s="1"/>
      <c r="D22" s="1"/>
      <c r="E22" s="19" t="s">
        <v>450</v>
      </c>
      <c r="G22" s="13" t="s">
        <v>475</v>
      </c>
      <c r="H22" s="1"/>
      <c r="I22" s="1"/>
      <c r="J22" s="1"/>
      <c r="K22" s="19" t="s">
        <v>450</v>
      </c>
      <c r="M22" s="13" t="s">
        <v>488</v>
      </c>
      <c r="N22" s="1"/>
      <c r="O22" s="1"/>
      <c r="P22" s="1" t="s">
        <v>489</v>
      </c>
      <c r="Q22" s="19"/>
    </row>
    <row r="23" spans="1:17" x14ac:dyDescent="0.25">
      <c r="A23" s="13" t="s">
        <v>459</v>
      </c>
      <c r="B23" s="1"/>
      <c r="C23" s="1"/>
      <c r="D23" s="1"/>
      <c r="E23" s="19" t="s">
        <v>450</v>
      </c>
      <c r="G23" s="13" t="s">
        <v>476</v>
      </c>
      <c r="H23" s="1"/>
      <c r="I23" s="1"/>
      <c r="J23" s="1"/>
      <c r="K23" s="19" t="s">
        <v>450</v>
      </c>
      <c r="M23" s="13"/>
      <c r="N23" s="1"/>
      <c r="O23" s="1"/>
      <c r="P23" s="1"/>
      <c r="Q23" s="102" t="str">
        <f>IF(Q22="","",(Q22/Q16)-1)</f>
        <v/>
      </c>
    </row>
    <row r="24" spans="1:17" x14ac:dyDescent="0.25">
      <c r="A24" s="13" t="s">
        <v>460</v>
      </c>
      <c r="B24" s="1"/>
      <c r="C24" s="1"/>
      <c r="D24" s="1"/>
      <c r="E24" s="19" t="s">
        <v>450</v>
      </c>
      <c r="G24" s="13" t="s">
        <v>477</v>
      </c>
      <c r="H24" s="1"/>
      <c r="I24" s="1"/>
      <c r="J24" s="1"/>
      <c r="K24" s="19" t="s">
        <v>450</v>
      </c>
      <c r="M24" s="29"/>
      <c r="N24" s="30"/>
      <c r="O24" s="30"/>
      <c r="P24" s="30"/>
      <c r="Q24" s="31" t="str">
        <f>IF(Q22=0,"",IF((Q22-Q16)&gt;(Q16*0.2),"Hohe Infarktwahrscheinlichkeit !","Rekontrolle am Folgetag empfohlen !"))</f>
        <v/>
      </c>
    </row>
    <row r="25" spans="1:17" x14ac:dyDescent="0.25">
      <c r="A25" s="13" t="s">
        <v>461</v>
      </c>
      <c r="B25" s="1"/>
      <c r="C25" s="1"/>
      <c r="D25" s="1"/>
      <c r="E25" s="19" t="s">
        <v>450</v>
      </c>
      <c r="G25" s="13"/>
      <c r="H25" s="1"/>
      <c r="I25" s="1"/>
      <c r="J25" s="1"/>
      <c r="K25" s="18"/>
      <c r="M25" s="13"/>
      <c r="N25" s="1"/>
      <c r="O25" s="1"/>
      <c r="P25" s="1"/>
      <c r="Q25" s="28"/>
    </row>
    <row r="26" spans="1:17" x14ac:dyDescent="0.25">
      <c r="A26" s="13"/>
      <c r="B26" s="1"/>
      <c r="C26" s="1"/>
      <c r="D26" s="1"/>
      <c r="E26" s="18"/>
      <c r="G26" s="20" t="str">
        <f>IF(K26&gt;2,"Hohes Blutungsrisiko","Niedriges Blutungsrisiko")</f>
        <v>Niedriges Blutungsrisiko</v>
      </c>
      <c r="H26" s="1"/>
      <c r="I26" s="1"/>
      <c r="J26" s="1"/>
      <c r="K26" s="21">
        <f>(IF(K16="ja",1,0)+IF(K17="ja",1,0)+IF(K18="ja",1,0)+IF(K19="ja",1,0)+IF(K20="ja",1,0)+IF(K21="ja",1,0)+IF(K22="ja",1,0)+IF(K23="ja",1,0)+IF(K24="ja",1,0))</f>
        <v>0</v>
      </c>
      <c r="M26" s="14"/>
      <c r="N26" s="22"/>
      <c r="O26" s="22"/>
      <c r="P26" s="22"/>
      <c r="Q26" s="23"/>
    </row>
    <row r="27" spans="1:17" x14ac:dyDescent="0.25">
      <c r="A27" s="20" t="str">
        <f>IF(E27&gt;4,"Tiefe Venenthrombose wahrscheinlich","Tiefe Venenthrombose unwahrscheinlich")</f>
        <v>Tiefe Venenthrombose unwahrscheinlich</v>
      </c>
      <c r="B27" s="1"/>
      <c r="C27" s="1"/>
      <c r="D27" s="1"/>
      <c r="E27" s="21">
        <f>(IF(E16="ja",1,0)+IF(E17="ja",1,0)+IF(E18="ja",1,0)+IF(E19="ja",1,0)+IF(E20="ja",1,0)+IF(E21="ja",1,0)+IF(E22="ja",1,0)+IF(E23="ja",1,0)+IF(E24="ja",1,0)+IF(E25="ja",-2,0))</f>
        <v>0</v>
      </c>
      <c r="G27" s="14"/>
      <c r="H27" s="22"/>
      <c r="I27" s="22"/>
      <c r="J27" s="22"/>
      <c r="K27" s="23"/>
    </row>
    <row r="28" spans="1:17" x14ac:dyDescent="0.25">
      <c r="A28" s="14"/>
      <c r="B28" s="22"/>
      <c r="C28" s="22"/>
      <c r="D28" s="22"/>
      <c r="E28" s="23"/>
    </row>
  </sheetData>
  <dataValidations count="1">
    <dataValidation type="list" showInputMessage="1" showErrorMessage="1" sqref="E3:E9 E16:E25 K3:K10 K16:K24 Q3:Q7">
      <formula1>"ja,nein"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C39" sqref="C39"/>
    </sheetView>
  </sheetViews>
  <sheetFormatPr baseColWidth="10" defaultRowHeight="15" x14ac:dyDescent="0.25"/>
  <cols>
    <col min="2" max="3" width="11.42578125" customWidth="1"/>
    <col min="6" max="6" width="28.28515625" customWidth="1"/>
    <col min="7" max="7" width="13.7109375" customWidth="1"/>
  </cols>
  <sheetData>
    <row r="1" spans="1:11" ht="18.75" x14ac:dyDescent="0.3">
      <c r="A1" s="45" t="s">
        <v>549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4" spans="1:11" x14ac:dyDescent="0.25">
      <c r="F4" s="9" t="s">
        <v>550</v>
      </c>
      <c r="G4" s="9" t="s">
        <v>554</v>
      </c>
      <c r="H4" s="9" t="s">
        <v>551</v>
      </c>
      <c r="I4" s="9" t="s">
        <v>552</v>
      </c>
      <c r="J4" s="9" t="s">
        <v>553</v>
      </c>
    </row>
    <row r="5" spans="1:11" x14ac:dyDescent="0.25">
      <c r="A5" t="s">
        <v>582</v>
      </c>
      <c r="F5" t="s">
        <v>548</v>
      </c>
      <c r="G5" t="s">
        <v>555</v>
      </c>
    </row>
    <row r="6" spans="1:11" x14ac:dyDescent="0.25">
      <c r="A6" t="s">
        <v>583</v>
      </c>
      <c r="F6" t="s">
        <v>556</v>
      </c>
    </row>
    <row r="7" spans="1:11" x14ac:dyDescent="0.25">
      <c r="A7" t="s">
        <v>584</v>
      </c>
      <c r="F7" t="s">
        <v>557</v>
      </c>
      <c r="G7" t="s">
        <v>560</v>
      </c>
    </row>
    <row r="8" spans="1:11" x14ac:dyDescent="0.25">
      <c r="A8" t="s">
        <v>585</v>
      </c>
      <c r="F8" t="s">
        <v>558</v>
      </c>
      <c r="G8" t="s">
        <v>559</v>
      </c>
    </row>
    <row r="9" spans="1:11" x14ac:dyDescent="0.25">
      <c r="A9" t="s">
        <v>586</v>
      </c>
      <c r="F9" t="s">
        <v>561</v>
      </c>
      <c r="G9" t="s">
        <v>562</v>
      </c>
    </row>
    <row r="10" spans="1:11" x14ac:dyDescent="0.25">
      <c r="A10" t="s">
        <v>587</v>
      </c>
      <c r="F10" t="s">
        <v>563</v>
      </c>
    </row>
    <row r="11" spans="1:11" x14ac:dyDescent="0.25">
      <c r="A11" t="s">
        <v>588</v>
      </c>
      <c r="F11" t="s">
        <v>564</v>
      </c>
    </row>
    <row r="12" spans="1:11" x14ac:dyDescent="0.25">
      <c r="A12" t="s">
        <v>589</v>
      </c>
      <c r="F12" t="s">
        <v>565</v>
      </c>
      <c r="G12" t="s">
        <v>566</v>
      </c>
    </row>
    <row r="13" spans="1:11" x14ac:dyDescent="0.25">
      <c r="F13" t="s">
        <v>567</v>
      </c>
      <c r="G13" t="s">
        <v>560</v>
      </c>
    </row>
    <row r="14" spans="1:11" x14ac:dyDescent="0.25">
      <c r="F14" t="s">
        <v>568</v>
      </c>
      <c r="G14" t="s">
        <v>560</v>
      </c>
    </row>
    <row r="15" spans="1:11" x14ac:dyDescent="0.25">
      <c r="F15" t="s">
        <v>569</v>
      </c>
    </row>
    <row r="16" spans="1:11" x14ac:dyDescent="0.25">
      <c r="B16" t="s">
        <v>595</v>
      </c>
      <c r="C16" t="s">
        <v>593</v>
      </c>
      <c r="D16" t="s">
        <v>594</v>
      </c>
      <c r="F16" t="s">
        <v>570</v>
      </c>
    </row>
    <row r="17" spans="1:7" x14ac:dyDescent="0.25">
      <c r="A17" t="s">
        <v>590</v>
      </c>
      <c r="B17" s="46">
        <v>7.8</v>
      </c>
      <c r="C17">
        <v>7.35</v>
      </c>
      <c r="D17">
        <v>7.45</v>
      </c>
      <c r="E17" t="str">
        <f>IF(B17=0,"",IF(B17&lt;C17,"(-)",IF(B17&gt;D17,"(+)","")))</f>
        <v>(+)</v>
      </c>
      <c r="F17" t="s">
        <v>571</v>
      </c>
      <c r="G17" t="s">
        <v>572</v>
      </c>
    </row>
    <row r="18" spans="1:7" x14ac:dyDescent="0.25">
      <c r="A18" t="s">
        <v>547</v>
      </c>
      <c r="B18" s="46">
        <v>30</v>
      </c>
      <c r="C18">
        <v>32</v>
      </c>
      <c r="D18">
        <v>45</v>
      </c>
      <c r="E18" t="str">
        <f t="shared" ref="E18:E21" si="0">IF(B18=0,"",IF(B18&lt;C18,"(-)",IF(B18&gt;D18,"(+)","")))</f>
        <v>(-)</v>
      </c>
      <c r="F18" t="s">
        <v>558</v>
      </c>
      <c r="G18" t="s">
        <v>573</v>
      </c>
    </row>
    <row r="19" spans="1:7" x14ac:dyDescent="0.25">
      <c r="A19" t="s">
        <v>546</v>
      </c>
      <c r="B19" s="46"/>
      <c r="C19">
        <v>85</v>
      </c>
      <c r="D19">
        <v>110</v>
      </c>
      <c r="E19" t="str">
        <f t="shared" si="0"/>
        <v/>
      </c>
      <c r="F19" t="s">
        <v>574</v>
      </c>
      <c r="G19" t="s">
        <v>575</v>
      </c>
    </row>
    <row r="20" spans="1:7" x14ac:dyDescent="0.25">
      <c r="A20" t="s">
        <v>591</v>
      </c>
      <c r="B20" s="46">
        <v>28</v>
      </c>
      <c r="C20">
        <v>22</v>
      </c>
      <c r="D20">
        <v>26</v>
      </c>
      <c r="E20" t="str">
        <f t="shared" si="0"/>
        <v>(+)</v>
      </c>
      <c r="F20" t="s">
        <v>576</v>
      </c>
      <c r="G20" t="s">
        <v>577</v>
      </c>
    </row>
    <row r="21" spans="1:7" x14ac:dyDescent="0.25">
      <c r="A21" t="s">
        <v>592</v>
      </c>
      <c r="B21" s="46"/>
      <c r="C21">
        <v>-2</v>
      </c>
      <c r="D21">
        <v>3</v>
      </c>
      <c r="E21" t="str">
        <f t="shared" si="0"/>
        <v/>
      </c>
      <c r="F21" t="s">
        <v>578</v>
      </c>
      <c r="G21" t="s">
        <v>579</v>
      </c>
    </row>
    <row r="22" spans="1:7" x14ac:dyDescent="0.25">
      <c r="F22" t="s">
        <v>580</v>
      </c>
      <c r="G22" t="s">
        <v>581</v>
      </c>
    </row>
    <row r="23" spans="1:7" x14ac:dyDescent="0.25">
      <c r="A23" t="str">
        <f>IF(AND(E17="(-)",E18="(+)",E20=""),"Respiratorische Azidose",IF(AND(E17="(-)",E18="(+)",E20="(+)"),"Respiratorische Azidose, metabolisch teilkompensiert",IF(AND(E17="(+)",E18="(-)",E20=""),"Respiratorische Alkalose",IF(AND(E17="(+)",E18="(-)",E20="(+)"),"Respiratorische Alkalose, metabolisch teilkompensiert"))))</f>
        <v>Respiratorische Alkalose, metabolisch teilkompensiert</v>
      </c>
    </row>
    <row r="27" spans="1:7" ht="18.75" x14ac:dyDescent="0.3">
      <c r="A27" s="45" t="s">
        <v>643</v>
      </c>
      <c r="B27" s="22"/>
      <c r="C27" s="22"/>
      <c r="D27" s="22"/>
    </row>
    <row r="29" spans="1:7" x14ac:dyDescent="0.25">
      <c r="A29" s="9" t="s">
        <v>644</v>
      </c>
      <c r="C29" s="85"/>
      <c r="D29" t="s">
        <v>647</v>
      </c>
    </row>
    <row r="30" spans="1:7" x14ac:dyDescent="0.25">
      <c r="A30" s="9" t="s">
        <v>645</v>
      </c>
      <c r="C30" s="85"/>
      <c r="D30" t="s">
        <v>647</v>
      </c>
    </row>
    <row r="31" spans="1:7" x14ac:dyDescent="0.25">
      <c r="A31" s="9" t="s">
        <v>646</v>
      </c>
      <c r="C31" s="85"/>
      <c r="D31" t="s">
        <v>647</v>
      </c>
    </row>
    <row r="32" spans="1:7" x14ac:dyDescent="0.25">
      <c r="A32" s="9" t="s">
        <v>591</v>
      </c>
      <c r="C32" s="85"/>
      <c r="D32" t="s">
        <v>647</v>
      </c>
    </row>
    <row r="33" spans="1:4" x14ac:dyDescent="0.25">
      <c r="A33" s="9"/>
    </row>
    <row r="34" spans="1:4" x14ac:dyDescent="0.25">
      <c r="A34" s="9" t="s">
        <v>643</v>
      </c>
      <c r="C34" s="84">
        <f>(C29+C30)-(C31+C32)</f>
        <v>0</v>
      </c>
      <c r="D34" t="s">
        <v>647</v>
      </c>
    </row>
    <row r="35" spans="1:4" x14ac:dyDescent="0.25">
      <c r="A35" s="9"/>
    </row>
    <row r="36" spans="1:4" x14ac:dyDescent="0.25">
      <c r="A36" s="9" t="s">
        <v>648</v>
      </c>
      <c r="C36" s="86" t="str">
        <f>"3 - 11"</f>
        <v>3 - 11</v>
      </c>
      <c r="D36" t="s">
        <v>647</v>
      </c>
    </row>
    <row r="37" spans="1:4" x14ac:dyDescent="0.25">
      <c r="A37" s="9"/>
    </row>
    <row r="38" spans="1:4" x14ac:dyDescent="0.25">
      <c r="A38" s="9" t="s">
        <v>649</v>
      </c>
      <c r="C38" t="str">
        <f>IF(C34=0,"",IF(C34&lt;3,"verkleinerte Anionenlücke",IF(C34&gt;11,"Additionsazidose","Subtraktionsazidose")))</f>
        <v/>
      </c>
    </row>
    <row r="39" spans="1:4" x14ac:dyDescent="0.25">
      <c r="A39" s="9"/>
    </row>
    <row r="40" spans="1:4" x14ac:dyDescent="0.25">
      <c r="A40" s="9" t="s">
        <v>650</v>
      </c>
    </row>
    <row r="41" spans="1:4" x14ac:dyDescent="0.25">
      <c r="A41" t="str">
        <f>IF(C38="Additionsazidose","Ketoazidose, Laktatazidose, Urämie",IF(C38="Subtraktionsazidose","starke Diarrhoen, distale renal-tubuläre Azidose",""))</f>
        <v/>
      </c>
    </row>
    <row r="42" spans="1:4" x14ac:dyDescent="0.25">
      <c r="A42" t="str">
        <f>IF(C38="Additionsazidose","ASS, Methanol, Natriumsalze, Penicillin",IF(C38="Subtraktionsazidose","",""))</f>
        <v/>
      </c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C15" sqref="C15"/>
    </sheetView>
  </sheetViews>
  <sheetFormatPr baseColWidth="10" defaultRowHeight="15" x14ac:dyDescent="0.25"/>
  <cols>
    <col min="2" max="3" width="11.42578125" customWidth="1"/>
    <col min="6" max="6" width="28.28515625" customWidth="1"/>
    <col min="7" max="7" width="13.7109375" customWidth="1"/>
  </cols>
  <sheetData>
    <row r="1" spans="1:11" ht="18.75" x14ac:dyDescent="0.3">
      <c r="A1" s="45" t="s">
        <v>631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1" x14ac:dyDescent="0.25">
      <c r="A3" t="s">
        <v>632</v>
      </c>
    </row>
    <row r="4" spans="1:11" x14ac:dyDescent="0.25">
      <c r="F4" s="9"/>
      <c r="G4" s="9"/>
      <c r="H4" s="9"/>
      <c r="I4" s="9"/>
      <c r="J4" s="9"/>
    </row>
    <row r="5" spans="1:11" x14ac:dyDescent="0.25">
      <c r="A5" t="s">
        <v>633</v>
      </c>
      <c r="C5">
        <v>4</v>
      </c>
    </row>
    <row r="6" spans="1:11" x14ac:dyDescent="0.25">
      <c r="A6" t="s">
        <v>634</v>
      </c>
      <c r="C6">
        <v>3</v>
      </c>
    </row>
    <row r="7" spans="1:11" x14ac:dyDescent="0.25">
      <c r="A7" t="s">
        <v>635</v>
      </c>
      <c r="C7">
        <v>2</v>
      </c>
    </row>
    <row r="8" spans="1:11" x14ac:dyDescent="0.25">
      <c r="A8" t="s">
        <v>636</v>
      </c>
      <c r="C8">
        <v>1</v>
      </c>
    </row>
    <row r="9" spans="1:11" x14ac:dyDescent="0.25">
      <c r="A9" t="s">
        <v>637</v>
      </c>
      <c r="C9">
        <v>0</v>
      </c>
    </row>
    <row r="10" spans="1:11" x14ac:dyDescent="0.25">
      <c r="A10" t="s">
        <v>638</v>
      </c>
      <c r="C10">
        <v>-1</v>
      </c>
    </row>
    <row r="11" spans="1:11" x14ac:dyDescent="0.25">
      <c r="A11" t="s">
        <v>639</v>
      </c>
      <c r="C11">
        <v>-2</v>
      </c>
    </row>
    <row r="12" spans="1:11" x14ac:dyDescent="0.25">
      <c r="A12" t="s">
        <v>640</v>
      </c>
      <c r="C12">
        <v>-3</v>
      </c>
    </row>
    <row r="13" spans="1:11" x14ac:dyDescent="0.25">
      <c r="A13" t="s">
        <v>641</v>
      </c>
      <c r="C13">
        <v>-4</v>
      </c>
    </row>
    <row r="14" spans="1:11" x14ac:dyDescent="0.25">
      <c r="A14" t="s">
        <v>642</v>
      </c>
      <c r="C14">
        <v>-5</v>
      </c>
    </row>
    <row r="17" spans="2:2" x14ac:dyDescent="0.25">
      <c r="B17" s="49"/>
    </row>
    <row r="18" spans="2:2" x14ac:dyDescent="0.25">
      <c r="B18" s="49"/>
    </row>
    <row r="19" spans="2:2" x14ac:dyDescent="0.25">
      <c r="B19" s="49"/>
    </row>
    <row r="20" spans="2:2" x14ac:dyDescent="0.25">
      <c r="B20" s="49"/>
    </row>
    <row r="21" spans="2:2" x14ac:dyDescent="0.25">
      <c r="B21" s="49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E10" sqref="E10"/>
    </sheetView>
  </sheetViews>
  <sheetFormatPr baseColWidth="10" defaultRowHeight="15" x14ac:dyDescent="0.25"/>
  <sheetData>
    <row r="1" spans="1:17" ht="18.75" x14ac:dyDescent="0.3">
      <c r="A1" s="15" t="s">
        <v>673</v>
      </c>
      <c r="B1" s="16"/>
      <c r="C1" s="16"/>
      <c r="D1" s="16"/>
      <c r="E1" s="17"/>
      <c r="G1" s="95"/>
      <c r="H1" s="42"/>
      <c r="I1" s="42"/>
      <c r="J1" s="42"/>
      <c r="K1" s="42"/>
      <c r="L1" s="42"/>
      <c r="M1" s="95"/>
      <c r="N1" s="42"/>
      <c r="O1" s="42"/>
      <c r="P1" s="42"/>
      <c r="Q1" s="42"/>
    </row>
    <row r="2" spans="1:17" x14ac:dyDescent="0.25">
      <c r="A2" s="13"/>
      <c r="B2" s="1"/>
      <c r="C2" s="1"/>
      <c r="D2" s="1"/>
      <c r="E2" s="18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x14ac:dyDescent="0.25">
      <c r="A3" s="13" t="s">
        <v>674</v>
      </c>
      <c r="B3" s="1"/>
      <c r="C3" s="99" t="s">
        <v>685</v>
      </c>
      <c r="D3" s="1"/>
      <c r="E3" s="19">
        <f>IF(C3="","",IF(C3="&lt; 2 mg/dl",1,IF(C3="2-3 mg/dl",2,IF(C3="&gt; 3 mg/dl",3,0))))</f>
        <v>3</v>
      </c>
      <c r="G3" s="42"/>
      <c r="H3" s="42"/>
      <c r="I3" s="42"/>
      <c r="J3" s="42"/>
      <c r="K3" s="96"/>
      <c r="L3" s="42"/>
      <c r="M3" s="42"/>
      <c r="N3" s="42"/>
      <c r="O3" s="42"/>
      <c r="P3" s="42"/>
      <c r="Q3" s="96"/>
    </row>
    <row r="4" spans="1:17" x14ac:dyDescent="0.25">
      <c r="A4" s="13" t="s">
        <v>675</v>
      </c>
      <c r="B4" s="1"/>
      <c r="C4" s="99" t="s">
        <v>684</v>
      </c>
      <c r="D4" s="1"/>
      <c r="E4" s="19">
        <f>IF(C4="","",IF(C4="&gt; 3,5 g/dl",1,IF(C4="2,8-3,5 g/dl",2,IF(C4="&lt; 2,8 g/dl",3,0))))</f>
        <v>2</v>
      </c>
      <c r="G4" s="42"/>
      <c r="H4" s="42"/>
      <c r="I4" s="42"/>
      <c r="J4" s="42"/>
      <c r="K4" s="96"/>
      <c r="L4" s="42"/>
      <c r="M4" s="42"/>
      <c r="N4" s="42"/>
      <c r="O4" s="42"/>
      <c r="P4" s="42"/>
      <c r="Q4" s="96"/>
    </row>
    <row r="5" spans="1:17" x14ac:dyDescent="0.25">
      <c r="A5" s="13" t="s">
        <v>676</v>
      </c>
      <c r="B5" s="1"/>
      <c r="C5" s="99" t="s">
        <v>686</v>
      </c>
      <c r="D5" s="1"/>
      <c r="E5" s="19">
        <f>IF(C5="","",IF(C5="&lt; 1,70",1,IF(C5="1,71-2,20",2,IF(C5="&gt; 2,20",3,0))))</f>
        <v>3</v>
      </c>
      <c r="G5" s="42"/>
      <c r="H5" s="42"/>
      <c r="I5" s="42"/>
      <c r="J5" s="42"/>
      <c r="K5" s="96"/>
      <c r="L5" s="42"/>
      <c r="M5" s="42"/>
      <c r="N5" s="42"/>
      <c r="O5" s="42"/>
      <c r="P5" s="42"/>
      <c r="Q5" s="96"/>
    </row>
    <row r="6" spans="1:17" x14ac:dyDescent="0.25">
      <c r="A6" s="13" t="s">
        <v>677</v>
      </c>
      <c r="B6" s="1"/>
      <c r="C6" s="99" t="s">
        <v>687</v>
      </c>
      <c r="D6" s="1"/>
      <c r="E6" s="19">
        <f>IF(C6="","",IF(C6="kein",1,IF(C6="mittelgradig",2,IF(C6="massiv",3,0))))</f>
        <v>1</v>
      </c>
      <c r="G6" s="42"/>
      <c r="H6" s="42"/>
      <c r="I6" s="42"/>
      <c r="J6" s="42"/>
      <c r="K6" s="96"/>
      <c r="L6" s="42"/>
      <c r="M6" s="42"/>
      <c r="N6" s="42"/>
      <c r="O6" s="42"/>
      <c r="P6" s="42"/>
      <c r="Q6" s="96"/>
    </row>
    <row r="7" spans="1:17" x14ac:dyDescent="0.25">
      <c r="A7" s="13" t="s">
        <v>678</v>
      </c>
      <c r="B7" s="1"/>
      <c r="C7" s="99" t="s">
        <v>688</v>
      </c>
      <c r="D7" s="1"/>
      <c r="E7" s="19" t="str">
        <f>IF(C7="","",IF(C7="keine",1,IF(C7="Grad I-II",2,IF(C7="Grad III-IV","3",0))))</f>
        <v>3</v>
      </c>
      <c r="G7" s="42"/>
      <c r="H7" s="42"/>
      <c r="I7" s="42"/>
      <c r="J7" s="42"/>
      <c r="K7" s="96"/>
      <c r="L7" s="42"/>
      <c r="M7" s="42"/>
      <c r="N7" s="42"/>
      <c r="O7" s="42"/>
      <c r="P7" s="42"/>
      <c r="Q7" s="96"/>
    </row>
    <row r="8" spans="1:17" x14ac:dyDescent="0.25">
      <c r="B8" s="1"/>
      <c r="C8" s="1"/>
      <c r="D8" s="1"/>
      <c r="E8" s="100"/>
      <c r="G8" s="42"/>
      <c r="H8" s="42"/>
      <c r="I8" s="42"/>
      <c r="J8" s="42"/>
      <c r="K8" s="96"/>
      <c r="L8" s="42"/>
      <c r="M8" s="42"/>
      <c r="N8" s="42"/>
      <c r="O8" s="42"/>
      <c r="P8" s="42"/>
      <c r="Q8" s="42"/>
    </row>
    <row r="9" spans="1:17" x14ac:dyDescent="0.25">
      <c r="A9" s="20" t="str">
        <f>IF(E9=0,"",IF(E9="","",IF(AND(E9&gt;4,E9&lt;7),"Child A",IF(AND(E9&gt;6,E9&lt;10),"Child B",IF(AND(E9&gt;9,E9&lt;16),"Child C")))))</f>
        <v>Child C</v>
      </c>
      <c r="B9" s="1" t="str">
        <f>IF(A9="Child A","(1-YSR: 100 %)",IF(A9="Child B","(1-YSR: 85 %)",IF(A9="Child C","(1-YSR: 35 %)","")))</f>
        <v>(1-YSR: 35 %)</v>
      </c>
      <c r="C9" s="1"/>
      <c r="D9" s="1"/>
      <c r="E9" s="21">
        <f>E3+E4+E5+E6+E7</f>
        <v>12</v>
      </c>
      <c r="G9" s="42"/>
      <c r="H9" s="42"/>
      <c r="I9" s="42"/>
      <c r="J9" s="42"/>
      <c r="K9" s="96"/>
      <c r="L9" s="42"/>
      <c r="M9" s="68"/>
      <c r="N9" s="42"/>
      <c r="O9" s="42"/>
      <c r="P9" s="42"/>
      <c r="Q9" s="97"/>
    </row>
    <row r="10" spans="1:17" x14ac:dyDescent="0.25">
      <c r="A10" s="14"/>
      <c r="B10" s="22"/>
      <c r="C10" s="22"/>
      <c r="D10" s="22"/>
      <c r="E10" s="23"/>
      <c r="G10" s="42"/>
      <c r="H10" s="42"/>
      <c r="I10" s="42"/>
      <c r="J10" s="42"/>
      <c r="K10" s="96"/>
      <c r="L10" s="42"/>
      <c r="M10" s="42"/>
      <c r="N10" s="42"/>
      <c r="O10" s="42"/>
      <c r="P10" s="42"/>
      <c r="Q10" s="42"/>
    </row>
    <row r="11" spans="1:17" x14ac:dyDescent="0.25"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17" x14ac:dyDescent="0.25">
      <c r="G12" s="68"/>
      <c r="H12" s="42"/>
      <c r="I12" s="42"/>
      <c r="J12" s="42"/>
      <c r="K12" s="97"/>
      <c r="L12" s="42"/>
      <c r="M12" s="42"/>
      <c r="N12" s="42"/>
      <c r="O12" s="42"/>
      <c r="P12" s="42"/>
      <c r="Q12" s="42"/>
    </row>
    <row r="13" spans="1:17" x14ac:dyDescent="0.25"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ht="18.75" x14ac:dyDescent="0.3">
      <c r="A14" s="95"/>
      <c r="B14" s="42"/>
      <c r="C14" s="42"/>
      <c r="D14" s="42"/>
      <c r="E14" s="42"/>
      <c r="G14" s="95"/>
      <c r="H14" s="42"/>
      <c r="I14" s="42"/>
      <c r="J14" s="42"/>
      <c r="K14" s="42"/>
      <c r="L14" s="42"/>
      <c r="M14" s="95"/>
      <c r="N14" s="42"/>
      <c r="O14" s="42"/>
      <c r="P14" s="42"/>
      <c r="Q14" s="42"/>
    </row>
    <row r="15" spans="1:17" x14ac:dyDescent="0.25">
      <c r="A15" s="42"/>
      <c r="B15" s="42"/>
      <c r="C15" s="42"/>
      <c r="D15" s="42"/>
      <c r="E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x14ac:dyDescent="0.25">
      <c r="A16" s="42"/>
      <c r="B16" s="42"/>
      <c r="C16" s="42"/>
      <c r="D16" s="42"/>
      <c r="E16" s="96"/>
      <c r="G16" s="42"/>
      <c r="H16" s="42"/>
      <c r="I16" s="42"/>
      <c r="J16" s="42"/>
      <c r="K16" s="96"/>
      <c r="L16" s="42"/>
      <c r="M16" s="42"/>
      <c r="N16" s="42"/>
      <c r="O16" s="42"/>
      <c r="P16" s="42"/>
      <c r="Q16" s="96"/>
    </row>
    <row r="17" spans="1:17" x14ac:dyDescent="0.25">
      <c r="A17" s="42"/>
      <c r="B17" s="42"/>
      <c r="C17" s="42"/>
      <c r="D17" s="42"/>
      <c r="E17" s="96"/>
      <c r="G17" s="42"/>
      <c r="H17" s="42"/>
      <c r="I17" s="42"/>
      <c r="J17" s="42"/>
      <c r="K17" s="96"/>
      <c r="L17" s="42"/>
      <c r="M17" s="42"/>
      <c r="N17" s="42"/>
      <c r="O17" s="42"/>
      <c r="P17" s="42"/>
      <c r="Q17" s="96"/>
    </row>
    <row r="18" spans="1:17" x14ac:dyDescent="0.25">
      <c r="A18" s="42"/>
      <c r="B18" s="42"/>
      <c r="C18" s="42"/>
      <c r="D18" s="42"/>
      <c r="E18" s="96"/>
      <c r="G18" s="42"/>
      <c r="H18" s="42"/>
      <c r="I18" s="42"/>
      <c r="J18" s="42"/>
      <c r="K18" s="96"/>
      <c r="L18" s="42"/>
      <c r="M18" s="42"/>
      <c r="N18" s="42"/>
      <c r="O18" s="42"/>
      <c r="P18" s="42"/>
      <c r="Q18" s="42"/>
    </row>
    <row r="19" spans="1:17" x14ac:dyDescent="0.25">
      <c r="A19" s="42"/>
      <c r="B19" s="42"/>
      <c r="C19" s="42"/>
      <c r="D19" s="42"/>
      <c r="E19" s="96"/>
      <c r="G19" s="42"/>
      <c r="H19" s="42"/>
      <c r="I19" s="42"/>
      <c r="J19" s="42"/>
      <c r="K19" s="96"/>
      <c r="L19" s="42"/>
      <c r="M19" s="42"/>
      <c r="N19" s="42"/>
      <c r="O19" s="42"/>
      <c r="P19" s="42"/>
      <c r="Q19" s="98"/>
    </row>
    <row r="20" spans="1:17" x14ac:dyDescent="0.25">
      <c r="A20" s="42"/>
      <c r="B20" s="42"/>
      <c r="C20" s="42"/>
      <c r="D20" s="42"/>
      <c r="E20" s="96"/>
      <c r="G20" s="42"/>
      <c r="H20" s="42"/>
      <c r="I20" s="42"/>
      <c r="J20" s="42"/>
      <c r="K20" s="96"/>
      <c r="L20" s="42"/>
      <c r="M20" s="42"/>
      <c r="N20" s="42"/>
      <c r="O20" s="42"/>
      <c r="P20" s="42"/>
      <c r="Q20" s="98"/>
    </row>
    <row r="21" spans="1:17" x14ac:dyDescent="0.25">
      <c r="A21" s="42"/>
      <c r="B21" s="42"/>
      <c r="C21" s="42"/>
      <c r="D21" s="42"/>
      <c r="E21" s="96"/>
      <c r="G21" s="42"/>
      <c r="H21" s="42"/>
      <c r="I21" s="42"/>
      <c r="J21" s="42"/>
      <c r="K21" s="96"/>
      <c r="L21" s="42"/>
      <c r="M21" s="42"/>
      <c r="N21" s="42"/>
      <c r="O21" s="42"/>
      <c r="P21" s="42"/>
      <c r="Q21" s="42"/>
    </row>
    <row r="22" spans="1:17" x14ac:dyDescent="0.25">
      <c r="A22" s="42"/>
      <c r="B22" s="42"/>
      <c r="C22" s="42"/>
      <c r="D22" s="42"/>
      <c r="E22" s="96"/>
      <c r="G22" s="42"/>
      <c r="H22" s="42"/>
      <c r="I22" s="42"/>
      <c r="J22" s="42"/>
      <c r="K22" s="96"/>
      <c r="L22" s="42"/>
      <c r="M22" s="42"/>
      <c r="N22" s="42"/>
      <c r="O22" s="42"/>
      <c r="P22" s="42"/>
      <c r="Q22" s="96"/>
    </row>
    <row r="23" spans="1:17" x14ac:dyDescent="0.25">
      <c r="A23" s="42"/>
      <c r="B23" s="42"/>
      <c r="C23" s="42"/>
      <c r="D23" s="42"/>
      <c r="E23" s="96"/>
      <c r="G23" s="42"/>
      <c r="H23" s="42"/>
      <c r="I23" s="42"/>
      <c r="J23" s="42"/>
      <c r="K23" s="96"/>
      <c r="L23" s="42"/>
      <c r="M23" s="42"/>
      <c r="N23" s="42"/>
      <c r="O23" s="42"/>
      <c r="P23" s="42"/>
      <c r="Q23" s="42"/>
    </row>
    <row r="24" spans="1:17" x14ac:dyDescent="0.25">
      <c r="A24" s="42"/>
      <c r="B24" s="42"/>
      <c r="C24" s="42"/>
      <c r="D24" s="42"/>
      <c r="E24" s="96"/>
      <c r="G24" s="42"/>
      <c r="H24" s="42"/>
      <c r="I24" s="42"/>
      <c r="J24" s="42"/>
      <c r="K24" s="96"/>
      <c r="L24" s="42"/>
      <c r="M24" s="42"/>
      <c r="N24" s="42"/>
      <c r="O24" s="42"/>
      <c r="P24" s="42"/>
      <c r="Q24" s="98"/>
    </row>
    <row r="25" spans="1:17" x14ac:dyDescent="0.25">
      <c r="A25" s="42"/>
      <c r="B25" s="42"/>
      <c r="C25" s="42"/>
      <c r="D25" s="42"/>
      <c r="E25" s="96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1:17" x14ac:dyDescent="0.25">
      <c r="A26" s="42"/>
      <c r="B26" s="42"/>
      <c r="C26" s="42"/>
      <c r="D26" s="42"/>
      <c r="E26" s="42"/>
      <c r="G26" s="68"/>
      <c r="H26" s="42"/>
      <c r="I26" s="42"/>
      <c r="J26" s="42"/>
      <c r="K26" s="97"/>
      <c r="L26" s="42"/>
      <c r="M26" s="42"/>
      <c r="N26" s="42"/>
      <c r="O26" s="42"/>
      <c r="P26" s="42"/>
      <c r="Q26" s="42"/>
    </row>
    <row r="27" spans="1:17" x14ac:dyDescent="0.25">
      <c r="A27" s="68"/>
      <c r="B27" s="42"/>
      <c r="C27" s="42"/>
      <c r="D27" s="42"/>
      <c r="E27" s="97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7" x14ac:dyDescent="0.25">
      <c r="A28" s="42"/>
      <c r="B28" s="42"/>
      <c r="C28" s="42"/>
      <c r="D28" s="42"/>
      <c r="E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1:17" x14ac:dyDescent="0.25"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</row>
  </sheetData>
  <dataValidations count="7">
    <dataValidation type="list" showInputMessage="1" showErrorMessage="1" sqref="Q3:Q7 E16:E25 K3:K10 K16:K24">
      <formula1>"ja,nein"</formula1>
    </dataValidation>
    <dataValidation showInputMessage="1" showErrorMessage="1" sqref="E3:E8"/>
    <dataValidation type="list" allowBlank="1" showInputMessage="1" showErrorMessage="1" sqref="C3">
      <formula1>"&lt; 2 mg/dl,2-3 mg/dl,&gt; 3 mg/dl"</formula1>
    </dataValidation>
    <dataValidation type="list" allowBlank="1" showInputMessage="1" showErrorMessage="1" sqref="C4">
      <mc:AlternateContent xmlns:x12ac="http://schemas.microsoft.com/office/spreadsheetml/2011/1/ac" xmlns:mc="http://schemas.openxmlformats.org/markup-compatibility/2006">
        <mc:Choice Requires="x12ac">
          <x12ac:list>"&gt; 3,5 g/dl","2,8-3,5 g/dl","&lt; 2,8 g/dl"</x12ac:list>
        </mc:Choice>
        <mc:Fallback>
          <formula1>"&gt; 3,5 g/dl,2,8-3,5 g/dl,&lt; 2,8 g/dl"</formula1>
        </mc:Fallback>
      </mc:AlternateContent>
    </dataValidation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"&lt; 1,70","1,71-2,20","&gt; 2,20"</x12ac:list>
        </mc:Choice>
        <mc:Fallback>
          <formula1>"&lt; 1,70,1,71-2,20,&gt; 2,20"</formula1>
        </mc:Fallback>
      </mc:AlternateContent>
    </dataValidation>
    <dataValidation type="list" allowBlank="1" showInputMessage="1" showErrorMessage="1" sqref="C6">
      <formula1>"kein,mittelgradig,massiv"</formula1>
    </dataValidation>
    <dataValidation type="list" allowBlank="1" showInputMessage="1" showErrorMessage="1" sqref="C7">
      <formula1>"keine,Grad I-II,Grad III-IV"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Medikamente</vt:lpstr>
      <vt:lpstr>Laufraten (ITS)</vt:lpstr>
      <vt:lpstr>Medikamente UAWTox</vt:lpstr>
      <vt:lpstr>Pulmo</vt:lpstr>
      <vt:lpstr>Sepsis</vt:lpstr>
      <vt:lpstr>Kardiovaskulär</vt:lpstr>
      <vt:lpstr>Beatmung &amp; SBH</vt:lpstr>
      <vt:lpstr>INTENSIV</vt:lpstr>
      <vt:lpstr>Gastro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CH-AMBSA</dc:creator>
  <cp:lastModifiedBy>VKH Intensiv Stationsärzte</cp:lastModifiedBy>
  <cp:lastPrinted>2020-10-27T12:36:57Z</cp:lastPrinted>
  <dcterms:created xsi:type="dcterms:W3CDTF">2020-03-19T09:34:20Z</dcterms:created>
  <dcterms:modified xsi:type="dcterms:W3CDTF">2021-04-22T11:54:59Z</dcterms:modified>
</cp:coreProperties>
</file>